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лот1!$A:$G</definedName>
    <definedName name="_xlnm.Print_Area" localSheetId="0">лот1!$A$1:$BB$36</definedName>
  </definedNames>
  <calcPr calcId="125725"/>
</workbook>
</file>

<file path=xl/calcChain.xml><?xml version="1.0" encoding="utf-8"?>
<calcChain xmlns="http://schemas.openxmlformats.org/spreadsheetml/2006/main">
  <c r="BB33" i="3"/>
  <c r="BA33"/>
  <c r="AZ33"/>
  <c r="BB32"/>
  <c r="BA32"/>
  <c r="AZ32"/>
  <c r="BB31"/>
  <c r="BA31"/>
  <c r="AZ31"/>
  <c r="BB30"/>
  <c r="BA30"/>
  <c r="AZ30"/>
  <c r="BB29"/>
  <c r="BA29"/>
  <c r="AZ29"/>
  <c r="BB28"/>
  <c r="BA28"/>
  <c r="AZ28"/>
  <c r="BB27"/>
  <c r="BA27"/>
  <c r="AZ27"/>
  <c r="BB26"/>
  <c r="BA26"/>
  <c r="AZ26"/>
  <c r="BB25"/>
  <c r="BA25"/>
  <c r="AZ25"/>
  <c r="BB24"/>
  <c r="BA24"/>
  <c r="AZ24"/>
  <c r="BB23"/>
  <c r="BA23"/>
  <c r="AZ23"/>
  <c r="BB22"/>
  <c r="BA22"/>
  <c r="AZ22"/>
  <c r="BB21"/>
  <c r="BA21"/>
  <c r="AZ21"/>
  <c r="BB20"/>
  <c r="BA20"/>
  <c r="AZ20"/>
  <c r="BB19"/>
  <c r="BA19"/>
  <c r="AZ19"/>
  <c r="BB18"/>
  <c r="BA18"/>
  <c r="AZ18"/>
  <c r="BB17"/>
  <c r="BA17"/>
  <c r="AZ17"/>
  <c r="BB16"/>
  <c r="BA16"/>
  <c r="AZ16"/>
  <c r="BB15"/>
  <c r="BA15"/>
  <c r="AZ15"/>
  <c r="BB14"/>
  <c r="BB34" s="1"/>
  <c r="BB36" s="1"/>
  <c r="BA14"/>
  <c r="BA34" s="1"/>
  <c r="BA36" s="1"/>
  <c r="AZ14"/>
  <c r="AZ34" s="1"/>
  <c r="AZ36" s="1"/>
  <c r="AH33"/>
  <c r="AG33"/>
  <c r="AF33"/>
  <c r="AH32"/>
  <c r="AG32"/>
  <c r="AF32"/>
  <c r="AH31"/>
  <c r="AG31"/>
  <c r="AF31"/>
  <c r="AH30"/>
  <c r="AG30"/>
  <c r="AF30"/>
  <c r="AH29"/>
  <c r="AG29"/>
  <c r="AG28" s="1"/>
  <c r="AF29"/>
  <c r="AH28"/>
  <c r="AF28"/>
  <c r="AH27"/>
  <c r="AG27"/>
  <c r="AF27"/>
  <c r="AH26"/>
  <c r="AG26"/>
  <c r="AF26"/>
  <c r="AH25"/>
  <c r="AG25"/>
  <c r="AF25"/>
  <c r="AH24"/>
  <c r="AG24"/>
  <c r="AF24"/>
  <c r="AH23"/>
  <c r="AG23"/>
  <c r="AF23"/>
  <c r="AH22"/>
  <c r="AG22"/>
  <c r="AF22"/>
  <c r="AH21"/>
  <c r="AG21"/>
  <c r="AF21"/>
  <c r="AH20"/>
  <c r="AG20"/>
  <c r="AF20"/>
  <c r="AH19"/>
  <c r="AG19"/>
  <c r="AF19"/>
  <c r="AH18"/>
  <c r="AG18"/>
  <c r="AF18"/>
  <c r="AH17"/>
  <c r="AG17"/>
  <c r="AF17"/>
  <c r="AH16"/>
  <c r="AG16"/>
  <c r="AF16"/>
  <c r="AH15"/>
  <c r="AG15"/>
  <c r="AF15"/>
  <c r="AH14"/>
  <c r="AH34" s="1"/>
  <c r="AH36" s="1"/>
  <c r="AG14"/>
  <c r="AF14"/>
  <c r="AF34" s="1"/>
  <c r="AF36" s="1"/>
  <c r="AT33"/>
  <c r="AS33"/>
  <c r="AR33"/>
  <c r="AQ33"/>
  <c r="AP33"/>
  <c r="AT32"/>
  <c r="AS32"/>
  <c r="AR32"/>
  <c r="AQ32"/>
  <c r="AP32"/>
  <c r="AT31"/>
  <c r="AS31"/>
  <c r="AR31"/>
  <c r="AQ31"/>
  <c r="AP31"/>
  <c r="AT30"/>
  <c r="AS30"/>
  <c r="AR30"/>
  <c r="AQ30"/>
  <c r="AP30"/>
  <c r="AT29"/>
  <c r="AS29"/>
  <c r="AS28" s="1"/>
  <c r="AR29"/>
  <c r="AQ29"/>
  <c r="AQ28" s="1"/>
  <c r="AP29"/>
  <c r="AT28"/>
  <c r="AR28"/>
  <c r="AP28"/>
  <c r="AT27"/>
  <c r="AS27"/>
  <c r="AR27"/>
  <c r="AQ27"/>
  <c r="AP27"/>
  <c r="AT26"/>
  <c r="AS26"/>
  <c r="AR26"/>
  <c r="AQ26"/>
  <c r="AP26"/>
  <c r="AT25"/>
  <c r="AS25"/>
  <c r="AR25"/>
  <c r="AQ25"/>
  <c r="AP25"/>
  <c r="AT24"/>
  <c r="AS24"/>
  <c r="AR24"/>
  <c r="AQ24"/>
  <c r="AP24"/>
  <c r="AT23"/>
  <c r="AS23"/>
  <c r="AS22" s="1"/>
  <c r="AR23"/>
  <c r="AQ23"/>
  <c r="AQ22" s="1"/>
  <c r="AP23"/>
  <c r="AT22"/>
  <c r="AR22"/>
  <c r="AP22"/>
  <c r="AT21"/>
  <c r="AS21"/>
  <c r="AR21"/>
  <c r="AQ21"/>
  <c r="AP21"/>
  <c r="AT20"/>
  <c r="AS20"/>
  <c r="AR20"/>
  <c r="AQ20"/>
  <c r="AP20"/>
  <c r="AT19"/>
  <c r="AS19"/>
  <c r="AR19"/>
  <c r="AQ19"/>
  <c r="AP19"/>
  <c r="AT18"/>
  <c r="AS18"/>
  <c r="AR18"/>
  <c r="AQ18"/>
  <c r="AP18"/>
  <c r="AT17"/>
  <c r="AS17"/>
  <c r="AR17"/>
  <c r="AQ17"/>
  <c r="AP17"/>
  <c r="AT16"/>
  <c r="AS16"/>
  <c r="AR16"/>
  <c r="AQ16"/>
  <c r="AP16"/>
  <c r="AT15"/>
  <c r="AS15"/>
  <c r="AS14" s="1"/>
  <c r="AR15"/>
  <c r="AQ15"/>
  <c r="AQ14" s="1"/>
  <c r="AP15"/>
  <c r="AT14"/>
  <c r="AT34" s="1"/>
  <c r="AT36" s="1"/>
  <c r="AR14"/>
  <c r="AR34" s="1"/>
  <c r="AR36" s="1"/>
  <c r="AP14"/>
  <c r="AP34" s="1"/>
  <c r="AP36" s="1"/>
  <c r="W33"/>
  <c r="V33"/>
  <c r="U33"/>
  <c r="T33"/>
  <c r="S33"/>
  <c r="R33"/>
  <c r="Q33"/>
  <c r="W32"/>
  <c r="V32"/>
  <c r="U32"/>
  <c r="T32"/>
  <c r="S32"/>
  <c r="R32"/>
  <c r="Q32"/>
  <c r="W31"/>
  <c r="V31"/>
  <c r="U31"/>
  <c r="T31"/>
  <c r="S31"/>
  <c r="R31"/>
  <c r="Q31"/>
  <c r="W30"/>
  <c r="V30"/>
  <c r="U30"/>
  <c r="T30"/>
  <c r="S30"/>
  <c r="R30"/>
  <c r="Q30"/>
  <c r="Q28" s="1"/>
  <c r="W29"/>
  <c r="V29"/>
  <c r="V28" s="1"/>
  <c r="U29"/>
  <c r="T29"/>
  <c r="T28" s="1"/>
  <c r="S29"/>
  <c r="R29"/>
  <c r="R28" s="1"/>
  <c r="Q29"/>
  <c r="W28"/>
  <c r="U28"/>
  <c r="S28"/>
  <c r="W27"/>
  <c r="V27"/>
  <c r="U27"/>
  <c r="T27"/>
  <c r="S27"/>
  <c r="R27"/>
  <c r="Q27"/>
  <c r="W26"/>
  <c r="V26"/>
  <c r="U26"/>
  <c r="T26"/>
  <c r="S26"/>
  <c r="R26"/>
  <c r="Q26"/>
  <c r="W25"/>
  <c r="V25"/>
  <c r="U25"/>
  <c r="T25"/>
  <c r="S25"/>
  <c r="R25"/>
  <c r="Q25"/>
  <c r="W24"/>
  <c r="V24"/>
  <c r="U24"/>
  <c r="T24"/>
  <c r="S24"/>
  <c r="R24"/>
  <c r="Q24"/>
  <c r="W23"/>
  <c r="W22" s="1"/>
  <c r="V23"/>
  <c r="U23"/>
  <c r="T23"/>
  <c r="S23"/>
  <c r="S22" s="1"/>
  <c r="R23"/>
  <c r="Q23"/>
  <c r="U22"/>
  <c r="Q22"/>
  <c r="W21"/>
  <c r="V21"/>
  <c r="U21"/>
  <c r="T21"/>
  <c r="S21"/>
  <c r="R21"/>
  <c r="Q21"/>
  <c r="W20"/>
  <c r="V20"/>
  <c r="U20"/>
  <c r="T20"/>
  <c r="S20"/>
  <c r="R20"/>
  <c r="Q20"/>
  <c r="W19"/>
  <c r="V19"/>
  <c r="U19"/>
  <c r="T19"/>
  <c r="S19"/>
  <c r="R19"/>
  <c r="Q19"/>
  <c r="W18"/>
  <c r="V18"/>
  <c r="U18"/>
  <c r="T18"/>
  <c r="S18"/>
  <c r="R18"/>
  <c r="Q18"/>
  <c r="W17"/>
  <c r="V17"/>
  <c r="U17"/>
  <c r="T17"/>
  <c r="S17"/>
  <c r="R17"/>
  <c r="Q17"/>
  <c r="W16"/>
  <c r="V16"/>
  <c r="U16"/>
  <c r="T16"/>
  <c r="S16"/>
  <c r="R16"/>
  <c r="Q16"/>
  <c r="W15"/>
  <c r="V15"/>
  <c r="V14" s="1"/>
  <c r="U15"/>
  <c r="T15"/>
  <c r="T14" s="1"/>
  <c r="S15"/>
  <c r="R15"/>
  <c r="R14" s="1"/>
  <c r="Q15"/>
  <c r="W14"/>
  <c r="U14"/>
  <c r="U34" s="1"/>
  <c r="U36" s="1"/>
  <c r="S14"/>
  <c r="Q14"/>
  <c r="W9"/>
  <c r="V9"/>
  <c r="U9"/>
  <c r="T9"/>
  <c r="S9"/>
  <c r="R9"/>
  <c r="Q9"/>
  <c r="P33"/>
  <c r="O33"/>
  <c r="N33"/>
  <c r="M33"/>
  <c r="P32"/>
  <c r="O32"/>
  <c r="N32"/>
  <c r="M32"/>
  <c r="P31"/>
  <c r="O31"/>
  <c r="N31"/>
  <c r="M31"/>
  <c r="P30"/>
  <c r="O30"/>
  <c r="N30"/>
  <c r="M30"/>
  <c r="P29"/>
  <c r="O29"/>
  <c r="N29"/>
  <c r="M29"/>
  <c r="P28"/>
  <c r="O28"/>
  <c r="N28"/>
  <c r="M28"/>
  <c r="P27"/>
  <c r="O27"/>
  <c r="N27"/>
  <c r="M27"/>
  <c r="P26"/>
  <c r="O26"/>
  <c r="N26"/>
  <c r="M26"/>
  <c r="P25"/>
  <c r="O25"/>
  <c r="N25"/>
  <c r="M25"/>
  <c r="P24"/>
  <c r="O24"/>
  <c r="N24"/>
  <c r="M24"/>
  <c r="P23"/>
  <c r="O23"/>
  <c r="N23"/>
  <c r="M23"/>
  <c r="P22"/>
  <c r="O22"/>
  <c r="N22"/>
  <c r="M22"/>
  <c r="P21"/>
  <c r="O21"/>
  <c r="N21"/>
  <c r="M21"/>
  <c r="P20"/>
  <c r="O20"/>
  <c r="N20"/>
  <c r="M20"/>
  <c r="P19"/>
  <c r="O19"/>
  <c r="N19"/>
  <c r="M19"/>
  <c r="P18"/>
  <c r="O18"/>
  <c r="N18"/>
  <c r="M18"/>
  <c r="P17"/>
  <c r="O17"/>
  <c r="N17"/>
  <c r="M17"/>
  <c r="P16"/>
  <c r="O16"/>
  <c r="N16"/>
  <c r="M16"/>
  <c r="P15"/>
  <c r="O15"/>
  <c r="N15"/>
  <c r="M15"/>
  <c r="P14"/>
  <c r="P34" s="1"/>
  <c r="P36" s="1"/>
  <c r="O14"/>
  <c r="O34" s="1"/>
  <c r="O36" s="1"/>
  <c r="N14"/>
  <c r="N34" s="1"/>
  <c r="N36" s="1"/>
  <c r="M14"/>
  <c r="M34" s="1"/>
  <c r="M36" s="1"/>
  <c r="P9"/>
  <c r="O9"/>
  <c r="N9"/>
  <c r="M9"/>
  <c r="L33"/>
  <c r="K33"/>
  <c r="L32"/>
  <c r="K32"/>
  <c r="L31"/>
  <c r="K31"/>
  <c r="L30"/>
  <c r="K30"/>
  <c r="L29"/>
  <c r="K29"/>
  <c r="L28"/>
  <c r="K28"/>
  <c r="L27"/>
  <c r="K27"/>
  <c r="L26"/>
  <c r="K26"/>
  <c r="L25"/>
  <c r="K25"/>
  <c r="L24"/>
  <c r="K24"/>
  <c r="L23"/>
  <c r="K23"/>
  <c r="L22"/>
  <c r="K22"/>
  <c r="L21"/>
  <c r="K21"/>
  <c r="L20"/>
  <c r="K20"/>
  <c r="L19"/>
  <c r="K19"/>
  <c r="L18"/>
  <c r="K18"/>
  <c r="L17"/>
  <c r="K17"/>
  <c r="L16"/>
  <c r="K16"/>
  <c r="L15"/>
  <c r="K15"/>
  <c r="L14"/>
  <c r="L34" s="1"/>
  <c r="L36" s="1"/>
  <c r="K14"/>
  <c r="K34" s="1"/>
  <c r="K36" s="1"/>
  <c r="L9"/>
  <c r="K9"/>
  <c r="Q34" l="1"/>
  <c r="Q36" s="1"/>
  <c r="R22"/>
  <c r="T22"/>
  <c r="V22"/>
  <c r="AG34"/>
  <c r="AG36" s="1"/>
  <c r="S34"/>
  <c r="S36" s="1"/>
  <c r="W34"/>
  <c r="W36" s="1"/>
  <c r="R34"/>
  <c r="R36" s="1"/>
  <c r="T34"/>
  <c r="T36" s="1"/>
  <c r="V34"/>
  <c r="V36" s="1"/>
  <c r="AQ34"/>
  <c r="AQ36" s="1"/>
  <c r="AS34"/>
  <c r="AS36" s="1"/>
  <c r="AY33"/>
  <c r="AY32"/>
  <c r="AY31"/>
  <c r="AY30"/>
  <c r="AY29"/>
  <c r="AY28" s="1"/>
  <c r="AY27"/>
  <c r="AY26"/>
  <c r="AY25"/>
  <c r="AY24"/>
  <c r="AY23"/>
  <c r="AY21"/>
  <c r="AY20"/>
  <c r="AY19"/>
  <c r="AY18"/>
  <c r="AY17"/>
  <c r="AY16"/>
  <c r="AY15"/>
  <c r="AY14" s="1"/>
  <c r="AX33"/>
  <c r="AX32"/>
  <c r="AX31"/>
  <c r="AX30"/>
  <c r="AX29"/>
  <c r="AX27"/>
  <c r="AX26"/>
  <c r="AX25"/>
  <c r="AX24"/>
  <c r="AX23"/>
  <c r="AX21"/>
  <c r="AX20"/>
  <c r="AX19"/>
  <c r="AX18"/>
  <c r="AX17"/>
  <c r="AX16"/>
  <c r="AX15"/>
  <c r="AO33"/>
  <c r="AN33"/>
  <c r="AO32"/>
  <c r="AN32"/>
  <c r="AO31"/>
  <c r="AN31"/>
  <c r="AO30"/>
  <c r="AN30"/>
  <c r="AO29"/>
  <c r="AN29"/>
  <c r="AN28" s="1"/>
  <c r="AO27"/>
  <c r="AN27"/>
  <c r="AO26"/>
  <c r="AN26"/>
  <c r="AO25"/>
  <c r="AN25"/>
  <c r="AO24"/>
  <c r="AN24"/>
  <c r="AO23"/>
  <c r="AN23"/>
  <c r="AN22" s="1"/>
  <c r="AO21"/>
  <c r="AN21"/>
  <c r="AO20"/>
  <c r="AN20"/>
  <c r="AO19"/>
  <c r="AN19"/>
  <c r="AO18"/>
  <c r="AN18"/>
  <c r="AO17"/>
  <c r="AN17"/>
  <c r="AO16"/>
  <c r="AN16"/>
  <c r="AO15"/>
  <c r="AN15"/>
  <c r="AY22" l="1"/>
  <c r="AY34" s="1"/>
  <c r="AY36" s="1"/>
  <c r="AO28"/>
  <c r="AX22"/>
  <c r="AO22"/>
  <c r="AN14"/>
  <c r="AN34" s="1"/>
  <c r="AN36" s="1"/>
  <c r="AO14"/>
  <c r="AO34" s="1"/>
  <c r="AO36" s="1"/>
  <c r="AX14"/>
  <c r="AX28"/>
  <c r="AW31"/>
  <c r="AW27"/>
  <c r="AW33"/>
  <c r="AW32"/>
  <c r="AW30"/>
  <c r="AW29"/>
  <c r="AW18"/>
  <c r="AW17"/>
  <c r="AW16"/>
  <c r="AW15"/>
  <c r="AW26"/>
  <c r="AW25"/>
  <c r="AW24"/>
  <c r="AW23"/>
  <c r="AW21"/>
  <c r="AW20"/>
  <c r="AW19"/>
  <c r="AA33"/>
  <c r="AB33"/>
  <c r="AC33"/>
  <c r="AD33"/>
  <c r="AE33"/>
  <c r="AI33"/>
  <c r="AJ33"/>
  <c r="AK33"/>
  <c r="AL33"/>
  <c r="AM33"/>
  <c r="Z33"/>
  <c r="AA32"/>
  <c r="AB32"/>
  <c r="AC32"/>
  <c r="AD32"/>
  <c r="AE32"/>
  <c r="AI32"/>
  <c r="AJ32"/>
  <c r="AK32"/>
  <c r="AL32"/>
  <c r="AM32"/>
  <c r="Z32"/>
  <c r="AA31"/>
  <c r="AB31"/>
  <c r="AC31"/>
  <c r="AD31"/>
  <c r="AE31"/>
  <c r="AI31"/>
  <c r="AJ31"/>
  <c r="AK31"/>
  <c r="AL31"/>
  <c r="AM31"/>
  <c r="Z31"/>
  <c r="AA30"/>
  <c r="AB30"/>
  <c r="AC30"/>
  <c r="AD30"/>
  <c r="AE30"/>
  <c r="AI30"/>
  <c r="AJ30"/>
  <c r="AK30"/>
  <c r="AL30"/>
  <c r="AM30"/>
  <c r="Z30"/>
  <c r="AA29"/>
  <c r="AB29"/>
  <c r="AC29"/>
  <c r="AD29"/>
  <c r="AE29"/>
  <c r="AI29"/>
  <c r="AJ29"/>
  <c r="AK29"/>
  <c r="AL29"/>
  <c r="AM29"/>
  <c r="Z29"/>
  <c r="AA27"/>
  <c r="AB27"/>
  <c r="AC27"/>
  <c r="AD27"/>
  <c r="AE27"/>
  <c r="AI27"/>
  <c r="AJ27"/>
  <c r="AK27"/>
  <c r="AL27"/>
  <c r="AM27"/>
  <c r="Z27"/>
  <c r="AA26"/>
  <c r="AB26"/>
  <c r="AC26"/>
  <c r="AD26"/>
  <c r="AE26"/>
  <c r="AI26"/>
  <c r="AJ26"/>
  <c r="AK26"/>
  <c r="AL26"/>
  <c r="AM26"/>
  <c r="Z26"/>
  <c r="AA25"/>
  <c r="AB25"/>
  <c r="AC25"/>
  <c r="AD25"/>
  <c r="AE25"/>
  <c r="AI25"/>
  <c r="AJ25"/>
  <c r="AK25"/>
  <c r="AL25"/>
  <c r="AM25"/>
  <c r="Z25"/>
  <c r="AA24"/>
  <c r="AB24"/>
  <c r="AC24"/>
  <c r="AD24"/>
  <c r="AE24"/>
  <c r="AI24"/>
  <c r="AJ24"/>
  <c r="AK24"/>
  <c r="AL24"/>
  <c r="AM24"/>
  <c r="Z24"/>
  <c r="AA23"/>
  <c r="AB23"/>
  <c r="AC23"/>
  <c r="AD23"/>
  <c r="AE23"/>
  <c r="AI23"/>
  <c r="AJ23"/>
  <c r="AK23"/>
  <c r="AL23"/>
  <c r="AM23"/>
  <c r="Z23"/>
  <c r="AA21"/>
  <c r="AB21"/>
  <c r="AC21"/>
  <c r="AD21"/>
  <c r="AE21"/>
  <c r="AI21"/>
  <c r="AJ21"/>
  <c r="AK21"/>
  <c r="AL21"/>
  <c r="AM21"/>
  <c r="Z21"/>
  <c r="AA20"/>
  <c r="AB20"/>
  <c r="AC20"/>
  <c r="AD20"/>
  <c r="AE20"/>
  <c r="AI20"/>
  <c r="AJ20"/>
  <c r="AK20"/>
  <c r="AL20"/>
  <c r="AM20"/>
  <c r="Z20"/>
  <c r="AA19"/>
  <c r="AB19"/>
  <c r="AC19"/>
  <c r="AD19"/>
  <c r="AE19"/>
  <c r="AI19"/>
  <c r="AJ19"/>
  <c r="AK19"/>
  <c r="AL19"/>
  <c r="AM19"/>
  <c r="Z19"/>
  <c r="AA18"/>
  <c r="AB18"/>
  <c r="AC18"/>
  <c r="AD18"/>
  <c r="AE18"/>
  <c r="AI18"/>
  <c r="AJ18"/>
  <c r="AK18"/>
  <c r="AL18"/>
  <c r="AM18"/>
  <c r="Z18"/>
  <c r="AA17"/>
  <c r="AB17"/>
  <c r="AC17"/>
  <c r="AD17"/>
  <c r="AE17"/>
  <c r="AI17"/>
  <c r="AJ17"/>
  <c r="AK17"/>
  <c r="AL17"/>
  <c r="AM17"/>
  <c r="Z17"/>
  <c r="AA16"/>
  <c r="AB16"/>
  <c r="AC16"/>
  <c r="AD16"/>
  <c r="AE16"/>
  <c r="AI16"/>
  <c r="AJ16"/>
  <c r="AK16"/>
  <c r="AL16"/>
  <c r="AM16"/>
  <c r="Z16"/>
  <c r="AA15"/>
  <c r="AB15"/>
  <c r="AC15"/>
  <c r="AD15"/>
  <c r="AE15"/>
  <c r="AI15"/>
  <c r="AJ15"/>
  <c r="AK15"/>
  <c r="AL15"/>
  <c r="AM15"/>
  <c r="Z15"/>
  <c r="Z14" s="1"/>
  <c r="J9"/>
  <c r="J33"/>
  <c r="J32"/>
  <c r="J31"/>
  <c r="J30"/>
  <c r="J29"/>
  <c r="J27"/>
  <c r="J26"/>
  <c r="J25"/>
  <c r="J24"/>
  <c r="J23"/>
  <c r="J21"/>
  <c r="J20"/>
  <c r="J19"/>
  <c r="J18"/>
  <c r="J17"/>
  <c r="J16"/>
  <c r="I33"/>
  <c r="I32"/>
  <c r="I31"/>
  <c r="I30"/>
  <c r="I29"/>
  <c r="I27"/>
  <c r="I26"/>
  <c r="I25"/>
  <c r="I24"/>
  <c r="I23"/>
  <c r="I21"/>
  <c r="I20"/>
  <c r="I19"/>
  <c r="I18"/>
  <c r="I17"/>
  <c r="I16"/>
  <c r="J15"/>
  <c r="I15"/>
  <c r="I9"/>
  <c r="AL14" l="1"/>
  <c r="AJ14"/>
  <c r="AM22"/>
  <c r="AX34"/>
  <c r="AX36" s="1"/>
  <c r="AW28"/>
  <c r="AK22"/>
  <c r="AW14"/>
  <c r="AI22"/>
  <c r="AD22"/>
  <c r="AB22"/>
  <c r="Z28"/>
  <c r="AL28"/>
  <c r="AW22"/>
  <c r="AW34" s="1"/>
  <c r="AW36" s="1"/>
  <c r="AJ28"/>
  <c r="AE28"/>
  <c r="AC28"/>
  <c r="AM14"/>
  <c r="AK14"/>
  <c r="AI14"/>
  <c r="AD14"/>
  <c r="AB14"/>
  <c r="Z22"/>
  <c r="Z34" s="1"/>
  <c r="Z36" s="1"/>
  <c r="AL22"/>
  <c r="AL34" s="1"/>
  <c r="AL36" s="1"/>
  <c r="AJ22"/>
  <c r="AJ34" s="1"/>
  <c r="AJ36" s="1"/>
  <c r="AE22"/>
  <c r="AC22"/>
  <c r="AA22"/>
  <c r="AM28"/>
  <c r="AK28"/>
  <c r="AI28"/>
  <c r="AD28"/>
  <c r="AB28"/>
  <c r="J14"/>
  <c r="AE14"/>
  <c r="AE34" s="1"/>
  <c r="AE36" s="1"/>
  <c r="AC14"/>
  <c r="AC34" s="1"/>
  <c r="AC36" s="1"/>
  <c r="AA14"/>
  <c r="AA28"/>
  <c r="J28"/>
  <c r="J22"/>
  <c r="H31"/>
  <c r="H14"/>
  <c r="H29"/>
  <c r="H26"/>
  <c r="H27"/>
  <c r="AA34" l="1"/>
  <c r="AA36" s="1"/>
  <c r="J34"/>
  <c r="J36" s="1"/>
  <c r="AD34"/>
  <c r="AD36" s="1"/>
  <c r="AK34"/>
  <c r="AK36" s="1"/>
  <c r="AB34"/>
  <c r="AB36" s="1"/>
  <c r="AI34"/>
  <c r="AI36" s="1"/>
  <c r="AM34"/>
  <c r="AM36" s="1"/>
  <c r="I22"/>
  <c r="H28"/>
  <c r="H22"/>
  <c r="H9"/>
  <c r="H36" l="1"/>
  <c r="I28"/>
  <c r="I14" l="1"/>
  <c r="I34" s="1"/>
  <c r="BC34" s="1"/>
  <c r="BD34" s="1"/>
  <c r="I36" l="1"/>
</calcChain>
</file>

<file path=xl/sharedStrings.xml><?xml version="1.0" encoding="utf-8"?>
<sst xmlns="http://schemas.openxmlformats.org/spreadsheetml/2006/main" count="236" uniqueCount="143">
  <si>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</si>
  <si>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</si>
  <si>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</si>
  <si>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</si>
  <si>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</si>
  <si>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</si>
  <si>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</si>
  <si>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</si>
  <si>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</si>
  <si>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</si>
  <si>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</si>
  <si>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</si>
  <si>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</si>
  <si>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</si>
  <si>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</si>
  <si>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</si>
  <si>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</si>
  <si>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</si>
  <si>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</si>
  <si>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</si>
  <si>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</si>
  <si>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</si>
  <si>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</si>
  <si>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</si>
  <si>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</si>
  <si>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</si>
  <si>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</si>
  <si>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</si>
  <si>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</si>
  <si>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</si>
  <si>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</si>
  <si>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</si>
  <si>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</si>
  <si>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</si>
  <si>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</si>
  <si>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</si>
  <si>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</si>
  <si>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</si>
  <si>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</si>
  <si>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</si>
  <si>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</si>
  <si>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</si>
  <si>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</si>
  <si>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</si>
  <si>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</si>
  <si>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</si>
  <si>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</si>
  <si>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деревянный не благоустроенный без канализации и центр отопления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</si>
  <si>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</si>
  <si>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</si>
  <si>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</si>
  <si>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</si>
  <si>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</si>
  <si>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деревянный не благоустроенный с центр отоплением</t>
  </si>
  <si>
    <t>Приложение №2</t>
  </si>
  <si>
    <t>Жилой район      Исакогорский и Цигломенский     территориальный округ</t>
  </si>
  <si>
    <t>34</t>
  </si>
  <si>
    <t>44</t>
  </si>
  <si>
    <t>54</t>
  </si>
  <si>
    <t>1</t>
  </si>
  <si>
    <t>32</t>
  </si>
  <si>
    <t>30</t>
  </si>
  <si>
    <t>46</t>
  </si>
  <si>
    <t>56</t>
  </si>
  <si>
    <t>17</t>
  </si>
  <si>
    <t>50</t>
  </si>
  <si>
    <t>52</t>
  </si>
  <si>
    <t>12</t>
  </si>
  <si>
    <t>Лот № 6</t>
  </si>
  <si>
    <t>СЕВСТРОЙ ул.</t>
  </si>
  <si>
    <t>1, к1</t>
  </si>
  <si>
    <t>1, к2</t>
  </si>
  <si>
    <t>3</t>
  </si>
  <si>
    <t>4</t>
  </si>
  <si>
    <t>5</t>
  </si>
  <si>
    <t>7, к1</t>
  </si>
  <si>
    <t>16</t>
  </si>
  <si>
    <t>34, к1</t>
  </si>
  <si>
    <t>34, к2</t>
  </si>
  <si>
    <t>34, к3</t>
  </si>
  <si>
    <t>34, к4</t>
  </si>
  <si>
    <t>6</t>
  </si>
  <si>
    <t>28</t>
  </si>
  <si>
    <t>41</t>
  </si>
  <si>
    <t>43</t>
  </si>
  <si>
    <t>45</t>
  </si>
  <si>
    <t>46, к1</t>
  </si>
  <si>
    <t>47</t>
  </si>
  <si>
    <t>48</t>
  </si>
  <si>
    <t>49</t>
  </si>
  <si>
    <t>51</t>
  </si>
  <si>
    <t>53</t>
  </si>
  <si>
    <t>55</t>
  </si>
  <si>
    <t>57</t>
  </si>
  <si>
    <t>58</t>
  </si>
  <si>
    <t>59</t>
  </si>
  <si>
    <t>22</t>
  </si>
  <si>
    <t>29</t>
  </si>
  <si>
    <t>33</t>
  </si>
  <si>
    <t>42</t>
  </si>
  <si>
    <t>247,3</t>
  </si>
  <si>
    <t>514,3</t>
  </si>
  <si>
    <t>154,6</t>
  </si>
  <si>
    <t>246,1</t>
  </si>
  <si>
    <t>244,8</t>
  </si>
  <si>
    <t>166,1</t>
  </si>
  <si>
    <t>498,8</t>
  </si>
  <si>
    <t>672,3</t>
  </si>
  <si>
    <t>643,5</t>
  </si>
  <si>
    <t>617,7</t>
  </si>
  <si>
    <t>520,4</t>
  </si>
  <si>
    <t>841</t>
  </si>
  <si>
    <t>840,6</t>
  </si>
  <si>
    <t>677,8</t>
  </si>
  <si>
    <t>838,3</t>
  </si>
  <si>
    <t>719</t>
  </si>
  <si>
    <t>524,1</t>
  </si>
  <si>
    <t>324,2</t>
  </si>
  <si>
    <t>520,2</t>
  </si>
  <si>
    <t>335,5</t>
  </si>
  <si>
    <t>508,6</t>
  </si>
  <si>
    <t>516</t>
  </si>
  <si>
    <t>512,2</t>
  </si>
  <si>
    <t>525,5</t>
  </si>
  <si>
    <t>531,4</t>
  </si>
  <si>
    <t>524,8</t>
  </si>
  <si>
    <t>510,8</t>
  </si>
  <si>
    <t>512,5</t>
  </si>
  <si>
    <t>510,2</t>
  </si>
  <si>
    <t>518</t>
  </si>
  <si>
    <t>514,1</t>
  </si>
  <si>
    <t>525,2</t>
  </si>
  <si>
    <t>528,5</t>
  </si>
  <si>
    <t>516,8</t>
  </si>
  <si>
    <t>512,3</t>
  </si>
  <si>
    <t>90,2</t>
  </si>
  <si>
    <t>498,9</t>
  </si>
  <si>
    <t>722,6</t>
  </si>
  <si>
    <t>350</t>
  </si>
  <si>
    <t>521,8</t>
  </si>
  <si>
    <t>527,7</t>
  </si>
  <si>
    <t xml:space="preserve">к Извещению и документации </t>
  </si>
  <si>
    <t>о проведении открытого конкурса</t>
  </si>
</sst>
</file>

<file path=xl/styles.xml><?xml version="1.0" encoding="utf-8"?>
<styleSheet xmlns="http://schemas.openxmlformats.org/spreadsheetml/2006/main">
  <fonts count="13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C00000"/>
      <name val="Times New Roman"/>
      <family val="1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4" fillId="2" borderId="1" xfId="0" applyNumberFormat="1" applyFont="1" applyFill="1" applyBorder="1" applyAlignment="1">
      <alignment horizontal="center" wrapText="1"/>
    </xf>
    <xf numFmtId="4" fontId="2" fillId="2" borderId="0" xfId="0" applyNumberFormat="1" applyFont="1" applyFill="1" applyAlignment="1">
      <alignment horizontal="right"/>
    </xf>
    <xf numFmtId="4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2" fillId="2" borderId="0" xfId="0" applyNumberFormat="1" applyFont="1" applyFill="1" applyAlignment="1">
      <alignment horizontal="left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/>
    </xf>
    <xf numFmtId="4" fontId="9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top"/>
    </xf>
    <xf numFmtId="4" fontId="9" fillId="2" borderId="5" xfId="0" applyNumberFormat="1" applyFont="1" applyFill="1" applyBorder="1" applyAlignment="1">
      <alignment horizontal="center" vertical="top"/>
    </xf>
    <xf numFmtId="4" fontId="10" fillId="2" borderId="5" xfId="0" applyNumberFormat="1" applyFont="1" applyFill="1" applyBorder="1" applyAlignment="1">
      <alignment horizontal="center"/>
    </xf>
    <xf numFmtId="4" fontId="8" fillId="2" borderId="18" xfId="0" applyNumberFormat="1" applyFont="1" applyFill="1" applyBorder="1" applyAlignment="1">
      <alignment horizontal="left" vertical="top"/>
    </xf>
    <xf numFmtId="4" fontId="10" fillId="2" borderId="18" xfId="0" applyNumberFormat="1" applyFont="1" applyFill="1" applyBorder="1" applyAlignment="1">
      <alignment horizontal="left" vertical="top"/>
    </xf>
    <xf numFmtId="4" fontId="10" fillId="2" borderId="18" xfId="0" applyNumberFormat="1" applyFont="1" applyFill="1" applyBorder="1" applyAlignment="1">
      <alignment horizontal="center" vertical="center"/>
    </xf>
    <xf numFmtId="4" fontId="9" fillId="2" borderId="18" xfId="0" applyNumberFormat="1" applyFont="1" applyFill="1" applyBorder="1" applyAlignment="1">
      <alignment horizontal="center"/>
    </xf>
    <xf numFmtId="4" fontId="10" fillId="2" borderId="18" xfId="0" applyNumberFormat="1" applyFont="1" applyFill="1" applyBorder="1" applyAlignment="1">
      <alignment horizontal="center" vertical="top"/>
    </xf>
    <xf numFmtId="4" fontId="8" fillId="2" borderId="5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4" fontId="8" fillId="2" borderId="21" xfId="0" applyNumberFormat="1" applyFont="1" applyFill="1" applyBorder="1" applyAlignment="1">
      <alignment vertical="center"/>
    </xf>
    <xf numFmtId="0" fontId="4" fillId="2" borderId="22" xfId="0" applyFont="1" applyFill="1" applyBorder="1" applyAlignment="1"/>
    <xf numFmtId="4" fontId="8" fillId="2" borderId="22" xfId="0" applyNumberFormat="1" applyFont="1" applyFill="1" applyBorder="1" applyAlignment="1">
      <alignment horizontal="right" vertical="center"/>
    </xf>
    <xf numFmtId="4" fontId="8" fillId="2" borderId="22" xfId="0" applyNumberFormat="1" applyFont="1" applyFill="1" applyBorder="1" applyAlignment="1">
      <alignment vertical="center"/>
    </xf>
    <xf numFmtId="0" fontId="2" fillId="0" borderId="0" xfId="0" applyFont="1" applyBorder="1" applyAlignment="1"/>
    <xf numFmtId="4" fontId="8" fillId="2" borderId="24" xfId="0" applyNumberFormat="1" applyFont="1" applyFill="1" applyBorder="1" applyAlignment="1">
      <alignment horizontal="left" vertical="top"/>
    </xf>
    <xf numFmtId="4" fontId="10" fillId="2" borderId="24" xfId="0" applyNumberFormat="1" applyFont="1" applyFill="1" applyBorder="1" applyAlignment="1">
      <alignment horizontal="center" vertical="center"/>
    </xf>
    <xf numFmtId="4" fontId="10" fillId="2" borderId="24" xfId="0" applyNumberFormat="1" applyFont="1" applyFill="1" applyBorder="1" applyAlignment="1">
      <alignment horizontal="center" vertical="top"/>
    </xf>
    <xf numFmtId="4" fontId="2" fillId="0" borderId="0" xfId="0" applyNumberFormat="1" applyFont="1" applyAlignment="1"/>
    <xf numFmtId="49" fontId="12" fillId="0" borderId="25" xfId="0" applyNumberFormat="1" applyFont="1" applyBorder="1" applyAlignment="1">
      <alignment horizontal="left" wrapText="1"/>
    </xf>
    <xf numFmtId="4" fontId="11" fillId="2" borderId="20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/>
    </xf>
    <xf numFmtId="4" fontId="8" fillId="2" borderId="13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/>
    </xf>
    <xf numFmtId="4" fontId="8" fillId="2" borderId="15" xfId="0" applyNumberFormat="1" applyFont="1" applyFill="1" applyBorder="1" applyAlignment="1">
      <alignment horizontal="center" vertical="center"/>
    </xf>
    <xf numFmtId="4" fontId="4" fillId="2" borderId="23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left" vertical="top"/>
    </xf>
    <xf numFmtId="4" fontId="8" fillId="2" borderId="7" xfId="0" applyNumberFormat="1" applyFont="1" applyFill="1" applyBorder="1" applyAlignment="1">
      <alignment horizontal="left" vertical="top"/>
    </xf>
    <xf numFmtId="4" fontId="8" fillId="2" borderId="8" xfId="0" applyNumberFormat="1" applyFont="1" applyFill="1" applyBorder="1" applyAlignment="1">
      <alignment horizontal="left" vertical="top"/>
    </xf>
    <xf numFmtId="4" fontId="8" fillId="2" borderId="24" xfId="0" applyNumberFormat="1" applyFont="1" applyFill="1" applyBorder="1" applyAlignment="1">
      <alignment horizontal="left" vertical="top"/>
    </xf>
    <xf numFmtId="4" fontId="8" fillId="2" borderId="9" xfId="0" applyNumberFormat="1" applyFont="1" applyFill="1" applyBorder="1" applyAlignment="1">
      <alignment horizontal="left" vertical="center" wrapText="1"/>
    </xf>
    <xf numFmtId="4" fontId="8" fillId="2" borderId="10" xfId="0" applyNumberFormat="1" applyFont="1" applyFill="1" applyBorder="1" applyAlignment="1">
      <alignment horizontal="left" vertical="center" wrapText="1"/>
    </xf>
    <xf numFmtId="4" fontId="8" fillId="2" borderId="11" xfId="0" applyNumberFormat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center" vertical="top"/>
    </xf>
    <xf numFmtId="4" fontId="8" fillId="2" borderId="2" xfId="0" applyNumberFormat="1" applyFont="1" applyFill="1" applyBorder="1" applyAlignment="1">
      <alignment horizontal="center" vertical="top"/>
    </xf>
    <xf numFmtId="4" fontId="8" fillId="2" borderId="4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left" vertical="top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/>
    </xf>
    <xf numFmtId="4" fontId="9" fillId="2" borderId="27" xfId="0" applyNumberFormat="1" applyFont="1" applyFill="1" applyBorder="1" applyAlignment="1">
      <alignment horizontal="center" vertical="center" wrapText="1"/>
    </xf>
    <xf numFmtId="4" fontId="9" fillId="2" borderId="19" xfId="0" applyNumberFormat="1" applyFont="1" applyFill="1" applyBorder="1" applyAlignment="1">
      <alignment horizontal="center" vertical="center" wrapText="1"/>
    </xf>
    <xf numFmtId="4" fontId="11" fillId="2" borderId="26" xfId="0" applyNumberFormat="1" applyFont="1" applyFill="1" applyBorder="1" applyAlignment="1">
      <alignment horizontal="center" vertical="center" wrapText="1"/>
    </xf>
    <xf numFmtId="4" fontId="11" fillId="2" borderId="16" xfId="0" applyNumberFormat="1" applyFont="1" applyFill="1" applyBorder="1" applyAlignment="1">
      <alignment horizontal="center" vertical="center" wrapText="1"/>
    </xf>
    <xf numFmtId="4" fontId="11" fillId="2" borderId="28" xfId="0" applyNumberFormat="1" applyFont="1" applyFill="1" applyBorder="1" applyAlignment="1">
      <alignment horizontal="center" vertical="center" wrapText="1"/>
    </xf>
    <xf numFmtId="49" fontId="12" fillId="0" borderId="29" xfId="0" applyNumberFormat="1" applyFont="1" applyBorder="1" applyAlignment="1">
      <alignment horizontal="left" wrapText="1"/>
    </xf>
    <xf numFmtId="4" fontId="9" fillId="2" borderId="29" xfId="0" applyNumberFormat="1" applyFont="1" applyFill="1" applyBorder="1" applyAlignment="1">
      <alignment horizontal="center" vertical="center" wrapText="1"/>
    </xf>
    <xf numFmtId="4" fontId="11" fillId="2" borderId="29" xfId="0" applyNumberFormat="1" applyFont="1" applyFill="1" applyBorder="1" applyAlignment="1">
      <alignment horizontal="center" vertical="center" wrapText="1"/>
    </xf>
    <xf numFmtId="49" fontId="12" fillId="0" borderId="30" xfId="0" applyNumberFormat="1" applyFont="1" applyBorder="1" applyAlignment="1">
      <alignment horizontal="left" wrapText="1"/>
    </xf>
    <xf numFmtId="49" fontId="12" fillId="0" borderId="31" xfId="0" applyNumberFormat="1" applyFont="1" applyBorder="1" applyAlignment="1">
      <alignment horizontal="left" wrapText="1"/>
    </xf>
    <xf numFmtId="4" fontId="9" fillId="2" borderId="31" xfId="0" applyNumberFormat="1" applyFont="1" applyFill="1" applyBorder="1" applyAlignment="1">
      <alignment horizontal="center" vertical="center" wrapText="1"/>
    </xf>
    <xf numFmtId="4" fontId="11" fillId="2" borderId="31" xfId="0" applyNumberFormat="1" applyFont="1" applyFill="1" applyBorder="1" applyAlignment="1">
      <alignment horizontal="center" vertical="center" wrapText="1"/>
    </xf>
    <xf numFmtId="49" fontId="12" fillId="0" borderId="32" xfId="0" applyNumberFormat="1" applyFont="1" applyBorder="1" applyAlignment="1">
      <alignment horizontal="left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42"/>
  <sheetViews>
    <sheetView tabSelected="1" view="pageBreakPreview" topLeftCell="A22" zoomScaleNormal="100" zoomScaleSheetLayoutView="100" workbookViewId="0">
      <selection activeCell="U7" sqref="U7"/>
    </sheetView>
  </sheetViews>
  <sheetFormatPr defaultRowHeight="12.75"/>
  <cols>
    <col min="1" max="5" width="9.140625" style="6"/>
    <col min="6" max="6" width="19.140625" style="6" customWidth="1"/>
    <col min="7" max="7" width="20.5703125" style="6" customWidth="1"/>
    <col min="8" max="8" width="11.140625" style="8" customWidth="1"/>
    <col min="9" max="9" width="9" style="8" customWidth="1"/>
    <col min="10" max="10" width="9.7109375" style="8" customWidth="1"/>
    <col min="11" max="11" width="9" style="13" customWidth="1"/>
    <col min="12" max="12" width="9.7109375" style="13" customWidth="1"/>
    <col min="13" max="13" width="9" style="13" customWidth="1"/>
    <col min="14" max="14" width="9.7109375" style="13" customWidth="1"/>
    <col min="15" max="15" width="9" style="13" customWidth="1"/>
    <col min="16" max="16" width="9.7109375" style="13" customWidth="1"/>
    <col min="17" max="17" width="9" style="13" customWidth="1"/>
    <col min="18" max="18" width="9.7109375" style="13" customWidth="1"/>
    <col min="19" max="19" width="9" style="13" customWidth="1"/>
    <col min="20" max="20" width="9.7109375" style="13" customWidth="1"/>
    <col min="21" max="21" width="9" style="13" customWidth="1"/>
    <col min="22" max="22" width="9.7109375" style="13" customWidth="1"/>
    <col min="23" max="23" width="9" style="13" customWidth="1"/>
    <col min="24" max="24" width="19.42578125" style="6" customWidth="1"/>
    <col min="25" max="25" width="13.28515625" style="8" customWidth="1"/>
    <col min="26" max="28" width="8.7109375" style="8" bestFit="1" customWidth="1"/>
    <col min="29" max="29" width="8.140625" style="8" customWidth="1"/>
    <col min="30" max="30" width="8.7109375" style="8" bestFit="1" customWidth="1"/>
    <col min="31" max="31" width="9.140625" style="8" customWidth="1"/>
    <col min="32" max="32" width="8.140625" style="13" customWidth="1"/>
    <col min="33" max="33" width="8.7109375" style="13" bestFit="1" customWidth="1"/>
    <col min="34" max="34" width="9.140625" style="13" customWidth="1"/>
    <col min="35" max="35" width="8.7109375" style="8" bestFit="1" customWidth="1"/>
    <col min="36" max="36" width="8.42578125" style="8" customWidth="1"/>
    <col min="37" max="37" width="8.7109375" style="8" customWidth="1"/>
    <col min="38" max="38" width="8.7109375" style="8" bestFit="1" customWidth="1"/>
    <col min="39" max="39" width="8.5703125" style="6" customWidth="1"/>
    <col min="40" max="40" width="8.7109375" style="13" customWidth="1"/>
    <col min="41" max="41" width="11" style="13" customWidth="1"/>
    <col min="42" max="42" width="9.5703125" style="13" customWidth="1"/>
    <col min="43" max="43" width="8.7109375" style="13" bestFit="1" customWidth="1"/>
    <col min="44" max="44" width="9.140625" style="13" customWidth="1"/>
    <col min="45" max="45" width="8.7109375" style="13" bestFit="1" customWidth="1"/>
    <col min="46" max="46" width="9.5703125" style="13" customWidth="1"/>
    <col min="47" max="47" width="19.42578125" style="6" customWidth="1"/>
    <col min="48" max="48" width="12.42578125" style="6" customWidth="1"/>
    <col min="49" max="54" width="9.140625" style="6" customWidth="1"/>
    <col min="55" max="55" width="12.28515625" style="1" customWidth="1"/>
    <col min="56" max="59" width="9.140625" style="1"/>
  </cols>
  <sheetData>
    <row r="1" spans="1:54" s="1" customFormat="1" ht="16.5" customHeight="1">
      <c r="A1" s="68" t="s">
        <v>25</v>
      </c>
      <c r="B1" s="68"/>
      <c r="C1" s="68"/>
      <c r="D1" s="68"/>
      <c r="E1" s="68"/>
      <c r="F1" s="68"/>
      <c r="G1" s="68"/>
      <c r="H1" s="8"/>
      <c r="I1" s="8"/>
      <c r="J1" s="13" t="s">
        <v>54</v>
      </c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6"/>
      <c r="AN1" s="3"/>
      <c r="AO1" s="3"/>
      <c r="AP1" s="3"/>
      <c r="AQ1" s="3"/>
      <c r="AR1" s="3"/>
      <c r="AS1" s="3"/>
      <c r="AT1" s="3"/>
      <c r="AU1" s="13"/>
      <c r="AV1" s="6"/>
      <c r="AW1" s="6"/>
      <c r="AX1" s="6"/>
      <c r="AY1" s="6"/>
      <c r="AZ1" s="6"/>
      <c r="BA1" s="6"/>
      <c r="BB1" s="6"/>
    </row>
    <row r="2" spans="1:54" s="1" customFormat="1" ht="16.5" customHeight="1">
      <c r="A2" s="68" t="s">
        <v>24</v>
      </c>
      <c r="B2" s="68"/>
      <c r="C2" s="68"/>
      <c r="D2" s="68"/>
      <c r="E2" s="68"/>
      <c r="F2" s="68"/>
      <c r="G2" s="68"/>
      <c r="H2" s="8"/>
      <c r="I2" s="15"/>
      <c r="J2" s="13" t="s">
        <v>141</v>
      </c>
      <c r="K2" s="15"/>
      <c r="L2" s="13"/>
      <c r="M2" s="15"/>
      <c r="N2" s="13"/>
      <c r="O2" s="15"/>
      <c r="P2" s="13"/>
      <c r="Q2" s="15"/>
      <c r="R2" s="13"/>
      <c r="S2" s="15"/>
      <c r="T2" s="13"/>
      <c r="U2" s="15"/>
      <c r="V2" s="13"/>
      <c r="W2" s="15"/>
      <c r="X2" s="13"/>
      <c r="Y2" s="13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6"/>
      <c r="AN2" s="4"/>
      <c r="AO2" s="4"/>
      <c r="AP2" s="4"/>
      <c r="AQ2" s="4"/>
      <c r="AR2" s="4"/>
      <c r="AS2" s="4"/>
      <c r="AT2" s="4"/>
      <c r="AU2" s="13"/>
      <c r="AV2" s="6"/>
      <c r="AW2" s="6"/>
      <c r="AX2" s="6"/>
      <c r="AY2" s="6"/>
      <c r="AZ2" s="6"/>
      <c r="BA2" s="6"/>
      <c r="BB2" s="6"/>
    </row>
    <row r="3" spans="1:54" s="1" customFormat="1" ht="16.5" customHeight="1">
      <c r="A3" s="68" t="s">
        <v>23</v>
      </c>
      <c r="B3" s="68"/>
      <c r="C3" s="68"/>
      <c r="D3" s="68"/>
      <c r="E3" s="68"/>
      <c r="F3" s="68"/>
      <c r="G3" s="68"/>
      <c r="H3" s="8"/>
      <c r="I3" s="8"/>
      <c r="J3" s="13" t="s">
        <v>142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6"/>
      <c r="AN3" s="4"/>
      <c r="AO3" s="4"/>
      <c r="AP3" s="4"/>
      <c r="AQ3" s="4"/>
      <c r="AR3" s="4"/>
      <c r="AS3" s="4"/>
      <c r="AT3" s="4"/>
      <c r="AU3" s="13"/>
      <c r="AV3" s="6"/>
      <c r="AW3" s="6"/>
      <c r="AX3" s="6"/>
      <c r="AY3" s="6"/>
      <c r="AZ3" s="6"/>
      <c r="BA3" s="6"/>
      <c r="BB3" s="6"/>
    </row>
    <row r="4" spans="1:54" s="1" customFormat="1" ht="16.5" customHeight="1">
      <c r="A4" s="68" t="s">
        <v>22</v>
      </c>
      <c r="B4" s="68"/>
      <c r="C4" s="68"/>
      <c r="D4" s="68"/>
      <c r="E4" s="68"/>
      <c r="F4" s="68"/>
      <c r="G4" s="68"/>
      <c r="H4" s="8"/>
      <c r="I4" s="8"/>
      <c r="J4" s="8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8"/>
      <c r="Y4" s="8"/>
      <c r="Z4" s="8"/>
      <c r="AA4" s="8"/>
      <c r="AB4" s="8"/>
      <c r="AC4" s="8"/>
      <c r="AD4" s="8"/>
      <c r="AE4" s="8"/>
      <c r="AF4" s="13"/>
      <c r="AG4" s="13"/>
      <c r="AH4" s="13"/>
      <c r="AI4" s="8"/>
      <c r="AJ4" s="8"/>
      <c r="AK4" s="8"/>
      <c r="AL4" s="8"/>
      <c r="AM4" s="6"/>
      <c r="AN4" s="13"/>
      <c r="AO4" s="13"/>
      <c r="AP4" s="13"/>
      <c r="AQ4" s="13"/>
      <c r="AR4" s="13"/>
      <c r="AS4" s="13"/>
      <c r="AT4" s="13"/>
      <c r="AU4" s="13"/>
      <c r="AV4" s="6"/>
      <c r="AW4" s="6"/>
      <c r="AX4" s="6"/>
      <c r="AY4" s="6"/>
      <c r="AZ4" s="6"/>
      <c r="BA4" s="6"/>
      <c r="BB4" s="6"/>
    </row>
    <row r="5" spans="1:54" s="1" customFormat="1">
      <c r="A5" s="5" t="s">
        <v>68</v>
      </c>
      <c r="B5" s="5" t="s">
        <v>55</v>
      </c>
      <c r="C5" s="6"/>
      <c r="D5" s="6"/>
      <c r="E5" s="6"/>
      <c r="F5" s="6"/>
      <c r="G5" s="6"/>
      <c r="H5" s="8"/>
      <c r="I5" s="8"/>
      <c r="J5" s="8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6"/>
      <c r="Y5" s="8"/>
      <c r="Z5" s="8"/>
      <c r="AA5" s="8"/>
      <c r="AB5" s="8"/>
      <c r="AC5" s="8"/>
      <c r="AD5" s="8"/>
      <c r="AE5" s="8"/>
      <c r="AF5" s="13"/>
      <c r="AG5" s="13"/>
      <c r="AH5" s="13"/>
      <c r="AI5" s="8"/>
      <c r="AJ5" s="8"/>
      <c r="AK5" s="8"/>
      <c r="AL5" s="8"/>
      <c r="AM5" s="6"/>
      <c r="AN5" s="13"/>
      <c r="AO5" s="13"/>
      <c r="AP5" s="13"/>
      <c r="AQ5" s="13"/>
      <c r="AR5" s="13"/>
      <c r="AS5" s="13"/>
      <c r="AT5" s="13"/>
      <c r="AU5" s="6"/>
      <c r="AV5" s="6"/>
      <c r="AW5" s="6"/>
      <c r="AX5" s="6"/>
      <c r="AY5" s="6"/>
      <c r="AZ5" s="6"/>
      <c r="BA5" s="6"/>
      <c r="BB5" s="6"/>
    </row>
    <row r="6" spans="1:54" s="1" customFormat="1" ht="21.75" customHeight="1">
      <c r="A6" s="42" t="s">
        <v>21</v>
      </c>
      <c r="B6" s="43"/>
      <c r="C6" s="43"/>
      <c r="D6" s="43"/>
      <c r="E6" s="43"/>
      <c r="F6" s="43"/>
      <c r="G6" s="31" t="s">
        <v>20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1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2"/>
      <c r="AN6" s="33"/>
      <c r="AO6" s="33"/>
      <c r="AP6" s="33"/>
      <c r="AQ6" s="33"/>
      <c r="AR6" s="33"/>
      <c r="AS6" s="33"/>
      <c r="AT6" s="33"/>
      <c r="AU6" s="31"/>
      <c r="AV6" s="34" t="s">
        <v>20</v>
      </c>
      <c r="AW6" s="32"/>
      <c r="AX6" s="32"/>
      <c r="AY6" s="32"/>
      <c r="AZ6" s="32"/>
      <c r="BA6" s="32"/>
      <c r="BB6" s="32"/>
    </row>
    <row r="7" spans="1:54" s="14" customFormat="1" ht="24" customHeight="1">
      <c r="A7" s="44"/>
      <c r="B7" s="45"/>
      <c r="C7" s="45"/>
      <c r="D7" s="45"/>
      <c r="E7" s="45"/>
      <c r="F7" s="45"/>
      <c r="G7" s="48" t="s">
        <v>19</v>
      </c>
      <c r="H7" s="73" t="s">
        <v>46</v>
      </c>
      <c r="I7" s="74" t="s">
        <v>69</v>
      </c>
      <c r="J7" s="74" t="s">
        <v>69</v>
      </c>
      <c r="K7" s="74" t="s">
        <v>69</v>
      </c>
      <c r="L7" s="74" t="s">
        <v>69</v>
      </c>
      <c r="M7" s="74" t="s">
        <v>69</v>
      </c>
      <c r="N7" s="74" t="s">
        <v>69</v>
      </c>
      <c r="O7" s="74" t="s">
        <v>69</v>
      </c>
      <c r="P7" s="74" t="s">
        <v>69</v>
      </c>
      <c r="Q7" s="74" t="s">
        <v>69</v>
      </c>
      <c r="R7" s="74" t="s">
        <v>69</v>
      </c>
      <c r="S7" s="74" t="s">
        <v>69</v>
      </c>
      <c r="T7" s="74" t="s">
        <v>69</v>
      </c>
      <c r="U7" s="74" t="s">
        <v>69</v>
      </c>
      <c r="V7" s="74" t="s">
        <v>69</v>
      </c>
      <c r="W7" s="74" t="s">
        <v>69</v>
      </c>
      <c r="X7" s="75" t="s">
        <v>19</v>
      </c>
      <c r="Y7" s="76" t="s">
        <v>47</v>
      </c>
      <c r="Z7" s="74" t="s">
        <v>69</v>
      </c>
      <c r="AA7" s="74" t="s">
        <v>69</v>
      </c>
      <c r="AB7" s="74" t="s">
        <v>69</v>
      </c>
      <c r="AC7" s="74" t="s">
        <v>69</v>
      </c>
      <c r="AD7" s="74" t="s">
        <v>69</v>
      </c>
      <c r="AE7" s="74" t="s">
        <v>69</v>
      </c>
      <c r="AF7" s="74" t="s">
        <v>69</v>
      </c>
      <c r="AG7" s="74" t="s">
        <v>69</v>
      </c>
      <c r="AH7" s="74" t="s">
        <v>69</v>
      </c>
      <c r="AI7" s="74" t="s">
        <v>69</v>
      </c>
      <c r="AJ7" s="74" t="s">
        <v>69</v>
      </c>
      <c r="AK7" s="74" t="s">
        <v>69</v>
      </c>
      <c r="AL7" s="74" t="s">
        <v>69</v>
      </c>
      <c r="AM7" s="74" t="s">
        <v>69</v>
      </c>
      <c r="AN7" s="74" t="s">
        <v>69</v>
      </c>
      <c r="AO7" s="74" t="s">
        <v>69</v>
      </c>
      <c r="AP7" s="74" t="s">
        <v>69</v>
      </c>
      <c r="AQ7" s="74" t="s">
        <v>69</v>
      </c>
      <c r="AR7" s="74" t="s">
        <v>69</v>
      </c>
      <c r="AS7" s="74" t="s">
        <v>69</v>
      </c>
      <c r="AT7" s="74" t="s">
        <v>69</v>
      </c>
      <c r="AU7" s="69" t="s">
        <v>19</v>
      </c>
      <c r="AV7" s="71" t="s">
        <v>53</v>
      </c>
      <c r="AW7" s="74" t="s">
        <v>69</v>
      </c>
      <c r="AX7" s="74" t="s">
        <v>69</v>
      </c>
      <c r="AY7" s="74" t="s">
        <v>69</v>
      </c>
      <c r="AZ7" s="74" t="s">
        <v>69</v>
      </c>
      <c r="BA7" s="74" t="s">
        <v>69</v>
      </c>
      <c r="BB7" s="77" t="s">
        <v>69</v>
      </c>
    </row>
    <row r="8" spans="1:54" s="14" customFormat="1" ht="24.75" customHeight="1">
      <c r="A8" s="46"/>
      <c r="B8" s="47"/>
      <c r="C8" s="47"/>
      <c r="D8" s="47"/>
      <c r="E8" s="47"/>
      <c r="F8" s="47"/>
      <c r="G8" s="49"/>
      <c r="H8" s="41"/>
      <c r="I8" s="78" t="s">
        <v>59</v>
      </c>
      <c r="J8" s="78" t="s">
        <v>70</v>
      </c>
      <c r="K8" s="78" t="s">
        <v>71</v>
      </c>
      <c r="L8" s="78" t="s">
        <v>72</v>
      </c>
      <c r="M8" s="78" t="s">
        <v>73</v>
      </c>
      <c r="N8" s="78" t="s">
        <v>74</v>
      </c>
      <c r="O8" s="78" t="s">
        <v>75</v>
      </c>
      <c r="P8" s="78" t="s">
        <v>67</v>
      </c>
      <c r="Q8" s="78" t="s">
        <v>76</v>
      </c>
      <c r="R8" s="78" t="s">
        <v>64</v>
      </c>
      <c r="S8" s="78" t="s">
        <v>61</v>
      </c>
      <c r="T8" s="78" t="s">
        <v>77</v>
      </c>
      <c r="U8" s="78" t="s">
        <v>78</v>
      </c>
      <c r="V8" s="78" t="s">
        <v>79</v>
      </c>
      <c r="W8" s="78" t="s">
        <v>80</v>
      </c>
      <c r="X8" s="79"/>
      <c r="Y8" s="80"/>
      <c r="Z8" s="78" t="s">
        <v>81</v>
      </c>
      <c r="AA8" s="78" t="s">
        <v>82</v>
      </c>
      <c r="AB8" s="78" t="s">
        <v>60</v>
      </c>
      <c r="AC8" s="78" t="s">
        <v>83</v>
      </c>
      <c r="AD8" s="78" t="s">
        <v>84</v>
      </c>
      <c r="AE8" s="78" t="s">
        <v>85</v>
      </c>
      <c r="AF8" s="78" t="s">
        <v>62</v>
      </c>
      <c r="AG8" s="78" t="s">
        <v>86</v>
      </c>
      <c r="AH8" s="78" t="s">
        <v>87</v>
      </c>
      <c r="AI8" s="78" t="s">
        <v>88</v>
      </c>
      <c r="AJ8" s="78" t="s">
        <v>89</v>
      </c>
      <c r="AK8" s="78" t="s">
        <v>65</v>
      </c>
      <c r="AL8" s="78" t="s">
        <v>90</v>
      </c>
      <c r="AM8" s="78" t="s">
        <v>66</v>
      </c>
      <c r="AN8" s="78" t="s">
        <v>91</v>
      </c>
      <c r="AO8" s="78" t="s">
        <v>58</v>
      </c>
      <c r="AP8" s="78" t="s">
        <v>92</v>
      </c>
      <c r="AQ8" s="78" t="s">
        <v>63</v>
      </c>
      <c r="AR8" s="78" t="s">
        <v>93</v>
      </c>
      <c r="AS8" s="78" t="s">
        <v>94</v>
      </c>
      <c r="AT8" s="78" t="s">
        <v>95</v>
      </c>
      <c r="AU8" s="70"/>
      <c r="AV8" s="72"/>
      <c r="AW8" s="78" t="s">
        <v>96</v>
      </c>
      <c r="AX8" s="78" t="s">
        <v>97</v>
      </c>
      <c r="AY8" s="78" t="s">
        <v>98</v>
      </c>
      <c r="AZ8" s="78" t="s">
        <v>56</v>
      </c>
      <c r="BA8" s="78" t="s">
        <v>99</v>
      </c>
      <c r="BB8" s="81" t="s">
        <v>57</v>
      </c>
    </row>
    <row r="9" spans="1:54" s="1" customFormat="1">
      <c r="A9" s="57" t="s">
        <v>18</v>
      </c>
      <c r="B9" s="58"/>
      <c r="C9" s="58"/>
      <c r="D9" s="58"/>
      <c r="E9" s="58"/>
      <c r="F9" s="59"/>
      <c r="G9" s="10"/>
      <c r="H9" s="23">
        <f t="shared" ref="H9" si="0">SUM(H10:H13)</f>
        <v>0</v>
      </c>
      <c r="I9" s="23">
        <f t="shared" ref="I9:J9" si="1">SUM(I10:I13)</f>
        <v>0</v>
      </c>
      <c r="J9" s="23">
        <f t="shared" si="1"/>
        <v>0</v>
      </c>
      <c r="K9" s="23">
        <f t="shared" ref="K9:N9" si="2">SUM(K10:K13)</f>
        <v>0</v>
      </c>
      <c r="L9" s="23">
        <f t="shared" si="2"/>
        <v>0</v>
      </c>
      <c r="M9" s="23">
        <f t="shared" si="2"/>
        <v>0</v>
      </c>
      <c r="N9" s="23">
        <f t="shared" si="2"/>
        <v>0</v>
      </c>
      <c r="O9" s="23">
        <f t="shared" ref="O9:V9" si="3">SUM(O10:O13)</f>
        <v>0</v>
      </c>
      <c r="P9" s="23">
        <f t="shared" si="3"/>
        <v>0</v>
      </c>
      <c r="Q9" s="23">
        <f t="shared" si="3"/>
        <v>0</v>
      </c>
      <c r="R9" s="23">
        <f t="shared" si="3"/>
        <v>0</v>
      </c>
      <c r="S9" s="23">
        <f t="shared" si="3"/>
        <v>0</v>
      </c>
      <c r="T9" s="23">
        <f t="shared" si="3"/>
        <v>0</v>
      </c>
      <c r="U9" s="23">
        <f t="shared" si="3"/>
        <v>0</v>
      </c>
      <c r="V9" s="23">
        <f t="shared" si="3"/>
        <v>0</v>
      </c>
      <c r="W9" s="23">
        <f t="shared" ref="W9" si="4">SUM(W10:W13)</f>
        <v>0</v>
      </c>
      <c r="X9" s="22"/>
      <c r="Y9" s="23">
        <v>0</v>
      </c>
      <c r="Z9" s="23">
        <v>0</v>
      </c>
      <c r="AA9" s="23">
        <v>0</v>
      </c>
      <c r="AB9" s="23">
        <v>0</v>
      </c>
      <c r="AC9" s="23">
        <v>0</v>
      </c>
      <c r="AD9" s="23">
        <v>0</v>
      </c>
      <c r="AE9" s="23">
        <v>0</v>
      </c>
      <c r="AF9" s="23">
        <v>0</v>
      </c>
      <c r="AG9" s="23">
        <v>0</v>
      </c>
      <c r="AH9" s="23">
        <v>0</v>
      </c>
      <c r="AI9" s="23">
        <v>0</v>
      </c>
      <c r="AJ9" s="23">
        <v>0</v>
      </c>
      <c r="AK9" s="23">
        <v>0</v>
      </c>
      <c r="AL9" s="23">
        <v>0</v>
      </c>
      <c r="AM9" s="23">
        <v>0</v>
      </c>
      <c r="AN9" s="23">
        <v>0</v>
      </c>
      <c r="AO9" s="23">
        <v>0</v>
      </c>
      <c r="AP9" s="23">
        <v>0</v>
      </c>
      <c r="AQ9" s="23">
        <v>0</v>
      </c>
      <c r="AR9" s="23">
        <v>0</v>
      </c>
      <c r="AS9" s="23">
        <v>0</v>
      </c>
      <c r="AT9" s="23">
        <v>0</v>
      </c>
      <c r="AU9" s="22"/>
      <c r="AV9" s="23">
        <v>0</v>
      </c>
      <c r="AW9" s="23">
        <v>0</v>
      </c>
      <c r="AX9" s="23">
        <v>0</v>
      </c>
      <c r="AY9" s="23">
        <v>0</v>
      </c>
      <c r="AZ9" s="23">
        <v>0</v>
      </c>
      <c r="BA9" s="23">
        <v>0</v>
      </c>
      <c r="BB9" s="23">
        <v>0</v>
      </c>
    </row>
    <row r="10" spans="1:54" s="1" customFormat="1">
      <c r="A10" s="61" t="s">
        <v>26</v>
      </c>
      <c r="B10" s="61"/>
      <c r="C10" s="61"/>
      <c r="D10" s="61"/>
      <c r="E10" s="61"/>
      <c r="F10" s="61"/>
      <c r="G10" s="9" t="s">
        <v>11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 t="s">
        <v>11</v>
      </c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0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 t="s">
        <v>11</v>
      </c>
      <c r="AV10" s="18">
        <v>0</v>
      </c>
      <c r="AW10" s="18">
        <v>0</v>
      </c>
      <c r="AX10" s="18">
        <v>0</v>
      </c>
      <c r="AY10" s="18">
        <v>0</v>
      </c>
      <c r="AZ10" s="18">
        <v>0</v>
      </c>
      <c r="BA10" s="18">
        <v>0</v>
      </c>
      <c r="BB10" s="18">
        <v>0</v>
      </c>
    </row>
    <row r="11" spans="1:54" s="1" customFormat="1">
      <c r="A11" s="61" t="s">
        <v>27</v>
      </c>
      <c r="B11" s="61"/>
      <c r="C11" s="61"/>
      <c r="D11" s="61"/>
      <c r="E11" s="61"/>
      <c r="F11" s="61"/>
      <c r="G11" s="9" t="s">
        <v>11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 t="s">
        <v>11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 t="s">
        <v>11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0</v>
      </c>
      <c r="BB11" s="18">
        <v>0</v>
      </c>
    </row>
    <row r="12" spans="1:54" s="1" customFormat="1">
      <c r="A12" s="61" t="s">
        <v>17</v>
      </c>
      <c r="B12" s="61"/>
      <c r="C12" s="61"/>
      <c r="D12" s="61"/>
      <c r="E12" s="61"/>
      <c r="F12" s="61"/>
      <c r="G12" s="9" t="s">
        <v>11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 t="s">
        <v>11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 t="s">
        <v>11</v>
      </c>
      <c r="AV12" s="18">
        <v>0</v>
      </c>
      <c r="AW12" s="18">
        <v>0</v>
      </c>
      <c r="AX12" s="18">
        <v>0</v>
      </c>
      <c r="AY12" s="18">
        <v>0</v>
      </c>
      <c r="AZ12" s="18">
        <v>0</v>
      </c>
      <c r="BA12" s="18">
        <v>0</v>
      </c>
      <c r="BB12" s="18">
        <v>0</v>
      </c>
    </row>
    <row r="13" spans="1:54" s="1" customFormat="1">
      <c r="A13" s="61" t="s">
        <v>16</v>
      </c>
      <c r="B13" s="61"/>
      <c r="C13" s="61"/>
      <c r="D13" s="61"/>
      <c r="E13" s="61"/>
      <c r="F13" s="61"/>
      <c r="G13" s="9" t="s">
        <v>15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 t="s">
        <v>15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18">
        <v>0</v>
      </c>
      <c r="AS13" s="18">
        <v>0</v>
      </c>
      <c r="AT13" s="18">
        <v>0</v>
      </c>
      <c r="AU13" s="18" t="s">
        <v>15</v>
      </c>
      <c r="AV13" s="18">
        <v>0</v>
      </c>
      <c r="AW13" s="18">
        <v>0</v>
      </c>
      <c r="AX13" s="18">
        <v>0</v>
      </c>
      <c r="AY13" s="18">
        <v>0</v>
      </c>
      <c r="AZ13" s="18">
        <v>0</v>
      </c>
      <c r="BA13" s="18">
        <v>0</v>
      </c>
      <c r="BB13" s="18">
        <v>0</v>
      </c>
    </row>
    <row r="14" spans="1:54" s="1" customFormat="1" ht="23.85" customHeight="1">
      <c r="A14" s="65" t="s">
        <v>14</v>
      </c>
      <c r="B14" s="66"/>
      <c r="C14" s="66"/>
      <c r="D14" s="66"/>
      <c r="E14" s="66"/>
      <c r="F14" s="67"/>
      <c r="G14" s="10"/>
      <c r="H14" s="16">
        <f t="shared" ref="H14" si="5">SUM(H15:H21)</f>
        <v>4.6500000000000004</v>
      </c>
      <c r="I14" s="16">
        <f t="shared" ref="I14:J14" si="6">SUM(I15:I21)</f>
        <v>13799.34</v>
      </c>
      <c r="J14" s="16">
        <f t="shared" si="6"/>
        <v>28697.94</v>
      </c>
      <c r="K14" s="16">
        <f t="shared" ref="K14:N14" si="7">SUM(K15:K21)</f>
        <v>8626.68</v>
      </c>
      <c r="L14" s="16">
        <f t="shared" si="7"/>
        <v>13732.38</v>
      </c>
      <c r="M14" s="16">
        <f t="shared" si="7"/>
        <v>13659.84</v>
      </c>
      <c r="N14" s="16">
        <f t="shared" si="7"/>
        <v>9268.380000000001</v>
      </c>
      <c r="O14" s="16">
        <f t="shared" ref="O14:V14" si="8">SUM(O15:O21)</f>
        <v>27833.040000000001</v>
      </c>
      <c r="P14" s="16">
        <f t="shared" si="8"/>
        <v>37514.339999999997</v>
      </c>
      <c r="Q14" s="16">
        <f t="shared" si="8"/>
        <v>35907.300000000003</v>
      </c>
      <c r="R14" s="16">
        <f t="shared" si="8"/>
        <v>34467.660000000003</v>
      </c>
      <c r="S14" s="16">
        <f t="shared" si="8"/>
        <v>29038.32</v>
      </c>
      <c r="T14" s="16">
        <f t="shared" si="8"/>
        <v>46927.8</v>
      </c>
      <c r="U14" s="16">
        <f t="shared" si="8"/>
        <v>46905.48000000001</v>
      </c>
      <c r="V14" s="16">
        <f t="shared" si="8"/>
        <v>37821.24</v>
      </c>
      <c r="W14" s="16">
        <f t="shared" ref="W14" si="9">SUM(W15:W21)</f>
        <v>46777.14</v>
      </c>
      <c r="X14" s="17"/>
      <c r="Y14" s="16">
        <v>11.129999999999999</v>
      </c>
      <c r="Z14" s="16">
        <f t="shared" ref="Z14:AM14" si="10">SUM(Z15:Z21)</f>
        <v>96029.640000000014</v>
      </c>
      <c r="AA14" s="16">
        <f t="shared" si="10"/>
        <v>69998.796000000002</v>
      </c>
      <c r="AB14" s="16">
        <f t="shared" si="10"/>
        <v>43300.152000000002</v>
      </c>
      <c r="AC14" s="16">
        <f t="shared" si="10"/>
        <v>69477.912000000011</v>
      </c>
      <c r="AD14" s="16">
        <f t="shared" si="10"/>
        <v>44809.380000000005</v>
      </c>
      <c r="AE14" s="16">
        <f t="shared" si="10"/>
        <v>67928.616000000009</v>
      </c>
      <c r="AF14" s="16">
        <f t="shared" ref="AF14:AH14" si="11">SUM(AF15:AF21)</f>
        <v>68916.959999999992</v>
      </c>
      <c r="AG14" s="16">
        <f t="shared" si="11"/>
        <v>68409.432000000015</v>
      </c>
      <c r="AH14" s="16">
        <f t="shared" si="11"/>
        <v>70185.78</v>
      </c>
      <c r="AI14" s="16">
        <f t="shared" si="10"/>
        <v>70973.784</v>
      </c>
      <c r="AJ14" s="16">
        <f t="shared" si="10"/>
        <v>70092.288</v>
      </c>
      <c r="AK14" s="16">
        <f t="shared" si="10"/>
        <v>68222.448000000004</v>
      </c>
      <c r="AL14" s="16">
        <f t="shared" si="10"/>
        <v>68449.5</v>
      </c>
      <c r="AM14" s="16">
        <f t="shared" si="10"/>
        <v>68142.312000000005</v>
      </c>
      <c r="AN14" s="16">
        <f t="shared" ref="AN14:AT14" si="12">SUM(AN15:AN21)</f>
        <v>68409.432000000015</v>
      </c>
      <c r="AO14" s="16">
        <f t="shared" si="12"/>
        <v>69184.08</v>
      </c>
      <c r="AP14" s="16">
        <f t="shared" si="12"/>
        <v>68663.196000000011</v>
      </c>
      <c r="AQ14" s="16">
        <f t="shared" si="12"/>
        <v>70145.712000000014</v>
      </c>
      <c r="AR14" s="16">
        <f t="shared" si="12"/>
        <v>70586.459999999992</v>
      </c>
      <c r="AS14" s="16">
        <f t="shared" si="12"/>
        <v>69023.808000000005</v>
      </c>
      <c r="AT14" s="16">
        <f t="shared" si="12"/>
        <v>68422.788</v>
      </c>
      <c r="AU14" s="17"/>
      <c r="AV14" s="16">
        <v>10.45</v>
      </c>
      <c r="AW14" s="16">
        <f t="shared" ref="AW14:AX14" si="13">SUM(AW15:AW21)</f>
        <v>11311.080000000002</v>
      </c>
      <c r="AX14" s="16">
        <f t="shared" si="13"/>
        <v>62562.06</v>
      </c>
      <c r="AY14" s="16">
        <f t="shared" ref="AY14:BA14" si="14">SUM(AY15:AY21)</f>
        <v>90614.040000000008</v>
      </c>
      <c r="AZ14" s="16">
        <f t="shared" si="14"/>
        <v>43890</v>
      </c>
      <c r="BA14" s="16">
        <f t="shared" si="14"/>
        <v>65433.72</v>
      </c>
      <c r="BB14" s="16">
        <f t="shared" ref="BB14" si="15">SUM(BB15:BB21)</f>
        <v>66173.580000000016</v>
      </c>
    </row>
    <row r="15" spans="1:54" s="1" customFormat="1">
      <c r="A15" s="61" t="s">
        <v>40</v>
      </c>
      <c r="B15" s="61"/>
      <c r="C15" s="61"/>
      <c r="D15" s="61"/>
      <c r="E15" s="61"/>
      <c r="F15" s="61"/>
      <c r="G15" s="9" t="s">
        <v>41</v>
      </c>
      <c r="H15" s="18">
        <v>1.08</v>
      </c>
      <c r="I15" s="18">
        <f>1.08*12*I35</f>
        <v>3205.0080000000003</v>
      </c>
      <c r="J15" s="18">
        <f t="shared" ref="J15:L15" si="16">1.08*12*J35</f>
        <v>6665.3279999999995</v>
      </c>
      <c r="K15" s="18">
        <f>1.08*12*K35</f>
        <v>2003.616</v>
      </c>
      <c r="L15" s="18">
        <f t="shared" si="16"/>
        <v>3189.4560000000001</v>
      </c>
      <c r="M15" s="18">
        <f>1.08*12*M35</f>
        <v>3172.6080000000002</v>
      </c>
      <c r="N15" s="18">
        <f t="shared" ref="N15" si="17">1.08*12*N35</f>
        <v>2152.6559999999999</v>
      </c>
      <c r="O15" s="18">
        <f>1.08*12*O35</f>
        <v>6464.4480000000003</v>
      </c>
      <c r="P15" s="18">
        <f t="shared" ref="P15" si="18">1.08*12*P35</f>
        <v>8713.0079999999998</v>
      </c>
      <c r="Q15" s="18">
        <f>1.08*12*Q35</f>
        <v>8339.76</v>
      </c>
      <c r="R15" s="18">
        <f t="shared" ref="R15" si="19">1.08*12*R35</f>
        <v>8005.3920000000007</v>
      </c>
      <c r="S15" s="18">
        <f>1.08*12*S35</f>
        <v>6744.384</v>
      </c>
      <c r="T15" s="18">
        <f t="shared" ref="T15" si="20">1.08*12*T35</f>
        <v>10899.36</v>
      </c>
      <c r="U15" s="18">
        <f>1.08*12*U35</f>
        <v>10894.176000000001</v>
      </c>
      <c r="V15" s="18">
        <f t="shared" ref="V15" si="21">1.08*12*V35</f>
        <v>8784.2880000000005</v>
      </c>
      <c r="W15" s="18">
        <f>1.08*12*W35</f>
        <v>10864.368</v>
      </c>
      <c r="X15" s="18" t="s">
        <v>41</v>
      </c>
      <c r="Y15" s="18">
        <v>0.95</v>
      </c>
      <c r="Z15" s="18">
        <f>0.95*12*Z35</f>
        <v>8196.5999999999985</v>
      </c>
      <c r="AA15" s="18">
        <f t="shared" ref="AA15:AM15" si="22">0.95*12*AA35</f>
        <v>5974.74</v>
      </c>
      <c r="AB15" s="18">
        <f t="shared" si="22"/>
        <v>3695.8799999999992</v>
      </c>
      <c r="AC15" s="18">
        <f t="shared" si="22"/>
        <v>5930.28</v>
      </c>
      <c r="AD15" s="18">
        <f t="shared" si="22"/>
        <v>3824.6999999999994</v>
      </c>
      <c r="AE15" s="18">
        <f t="shared" si="22"/>
        <v>5798.04</v>
      </c>
      <c r="AF15" s="18">
        <f t="shared" ref="AF15:AH15" si="23">0.95*12*AF35</f>
        <v>5882.4</v>
      </c>
      <c r="AG15" s="18">
        <f t="shared" si="23"/>
        <v>5839.08</v>
      </c>
      <c r="AH15" s="18">
        <f t="shared" si="23"/>
        <v>5990.6999999999989</v>
      </c>
      <c r="AI15" s="18">
        <f t="shared" si="22"/>
        <v>6057.9599999999991</v>
      </c>
      <c r="AJ15" s="18">
        <f t="shared" si="22"/>
        <v>5982.7199999999984</v>
      </c>
      <c r="AK15" s="18">
        <f t="shared" si="22"/>
        <v>5823.119999999999</v>
      </c>
      <c r="AL15" s="18">
        <f t="shared" si="22"/>
        <v>5842.4999999999991</v>
      </c>
      <c r="AM15" s="18">
        <f t="shared" si="22"/>
        <v>5816.2799999999988</v>
      </c>
      <c r="AN15" s="18">
        <f t="shared" ref="AN15:AT15" si="24">0.95*12*AN35</f>
        <v>5839.08</v>
      </c>
      <c r="AO15" s="18">
        <f t="shared" si="24"/>
        <v>5905.1999999999989</v>
      </c>
      <c r="AP15" s="18">
        <f t="shared" si="24"/>
        <v>5860.74</v>
      </c>
      <c r="AQ15" s="18">
        <f t="shared" si="24"/>
        <v>5987.28</v>
      </c>
      <c r="AR15" s="18">
        <f t="shared" si="24"/>
        <v>6024.9</v>
      </c>
      <c r="AS15" s="18">
        <f t="shared" si="24"/>
        <v>5891.5199999999986</v>
      </c>
      <c r="AT15" s="18">
        <f t="shared" si="24"/>
        <v>5840.2199999999984</v>
      </c>
      <c r="AU15" s="18" t="s">
        <v>41</v>
      </c>
      <c r="AV15" s="18">
        <v>0.96</v>
      </c>
      <c r="AW15" s="18">
        <f t="shared" ref="AW15:AY15" si="25">0.96*12*AW35</f>
        <v>1039.104</v>
      </c>
      <c r="AX15" s="18">
        <f t="shared" si="25"/>
        <v>5747.3279999999995</v>
      </c>
      <c r="AY15" s="18">
        <f t="shared" si="25"/>
        <v>8324.3520000000008</v>
      </c>
      <c r="AZ15" s="18">
        <f t="shared" ref="AZ15:BB15" si="26">0.96*12*AZ35</f>
        <v>4032</v>
      </c>
      <c r="BA15" s="18">
        <f t="shared" si="26"/>
        <v>6011.1359999999995</v>
      </c>
      <c r="BB15" s="18">
        <f t="shared" si="26"/>
        <v>6079.1040000000003</v>
      </c>
    </row>
    <row r="16" spans="1:54" s="1" customFormat="1">
      <c r="A16" s="61" t="s">
        <v>31</v>
      </c>
      <c r="B16" s="61"/>
      <c r="C16" s="61"/>
      <c r="D16" s="61"/>
      <c r="E16" s="61"/>
      <c r="F16" s="61"/>
      <c r="G16" s="9" t="s">
        <v>13</v>
      </c>
      <c r="H16" s="18">
        <v>0.41</v>
      </c>
      <c r="I16" s="18">
        <f>0.41*12*I35</f>
        <v>1216.7160000000001</v>
      </c>
      <c r="J16" s="18">
        <f t="shared" ref="J16:L16" si="27">0.41*12*J35</f>
        <v>2530.3559999999998</v>
      </c>
      <c r="K16" s="18">
        <f>0.41*12*K35</f>
        <v>760.63199999999995</v>
      </c>
      <c r="L16" s="18">
        <f t="shared" si="27"/>
        <v>1210.8119999999999</v>
      </c>
      <c r="M16" s="18">
        <f>0.41*12*M35</f>
        <v>1204.4159999999999</v>
      </c>
      <c r="N16" s="18">
        <f t="shared" ref="N16" si="28">0.41*12*N35</f>
        <v>817.21199999999999</v>
      </c>
      <c r="O16" s="18">
        <f>0.41*12*O35</f>
        <v>2454.096</v>
      </c>
      <c r="P16" s="18">
        <f t="shared" ref="P16" si="29">0.41*12*P35</f>
        <v>3307.7159999999999</v>
      </c>
      <c r="Q16" s="18">
        <f>0.41*12*Q35</f>
        <v>3166.02</v>
      </c>
      <c r="R16" s="18">
        <f t="shared" ref="R16" si="30">0.41*12*R35</f>
        <v>3039.0840000000003</v>
      </c>
      <c r="S16" s="18">
        <f>0.41*12*S35</f>
        <v>2560.3679999999999</v>
      </c>
      <c r="T16" s="18">
        <f t="shared" ref="T16" si="31">0.41*12*T35</f>
        <v>4137.72</v>
      </c>
      <c r="U16" s="18">
        <f>0.41*12*U35</f>
        <v>4135.7520000000004</v>
      </c>
      <c r="V16" s="18">
        <f t="shared" ref="V16" si="32">0.41*12*V35</f>
        <v>3334.7759999999998</v>
      </c>
      <c r="W16" s="18">
        <f>0.41*12*W35</f>
        <v>4124.4359999999997</v>
      </c>
      <c r="X16" s="18" t="s">
        <v>13</v>
      </c>
      <c r="Y16" s="18">
        <v>0.89</v>
      </c>
      <c r="Z16" s="18">
        <f>0.89*12*Z35</f>
        <v>7678.92</v>
      </c>
      <c r="AA16" s="18">
        <f t="shared" ref="AA16:AM16" si="33">0.89*12*AA35</f>
        <v>5597.3879999999999</v>
      </c>
      <c r="AB16" s="18">
        <f t="shared" si="33"/>
        <v>3462.4559999999997</v>
      </c>
      <c r="AC16" s="18">
        <f t="shared" si="33"/>
        <v>5555.7360000000008</v>
      </c>
      <c r="AD16" s="18">
        <f t="shared" si="33"/>
        <v>3583.14</v>
      </c>
      <c r="AE16" s="18">
        <f t="shared" si="33"/>
        <v>5431.848</v>
      </c>
      <c r="AF16" s="18">
        <f t="shared" ref="AF16:AH16" si="34">0.89*12*AF35</f>
        <v>5510.88</v>
      </c>
      <c r="AG16" s="18">
        <f t="shared" si="34"/>
        <v>5470.2960000000003</v>
      </c>
      <c r="AH16" s="18">
        <f t="shared" si="34"/>
        <v>5612.34</v>
      </c>
      <c r="AI16" s="18">
        <f t="shared" si="33"/>
        <v>5675.3519999999999</v>
      </c>
      <c r="AJ16" s="18">
        <f t="shared" si="33"/>
        <v>5604.8639999999996</v>
      </c>
      <c r="AK16" s="18">
        <f t="shared" si="33"/>
        <v>5455.3440000000001</v>
      </c>
      <c r="AL16" s="18">
        <f t="shared" si="33"/>
        <v>5473.5</v>
      </c>
      <c r="AM16" s="18">
        <f t="shared" si="33"/>
        <v>5448.9359999999997</v>
      </c>
      <c r="AN16" s="18">
        <f t="shared" ref="AN16:AT16" si="35">0.89*12*AN35</f>
        <v>5470.2960000000003</v>
      </c>
      <c r="AO16" s="18">
        <f t="shared" si="35"/>
        <v>5532.24</v>
      </c>
      <c r="AP16" s="18">
        <f t="shared" si="35"/>
        <v>5490.5879999999997</v>
      </c>
      <c r="AQ16" s="18">
        <f t="shared" si="35"/>
        <v>5609.1360000000004</v>
      </c>
      <c r="AR16" s="18">
        <f t="shared" si="35"/>
        <v>5644.38</v>
      </c>
      <c r="AS16" s="18">
        <f t="shared" si="35"/>
        <v>5519.4239999999991</v>
      </c>
      <c r="AT16" s="18">
        <f t="shared" si="35"/>
        <v>5471.3639999999996</v>
      </c>
      <c r="AU16" s="18" t="s">
        <v>13</v>
      </c>
      <c r="AV16" s="18">
        <v>0.47</v>
      </c>
      <c r="AW16" s="18">
        <f t="shared" ref="AW16:AY16" si="36">0.47*12*AW35</f>
        <v>508.72800000000001</v>
      </c>
      <c r="AX16" s="18">
        <f t="shared" si="36"/>
        <v>2813.7959999999998</v>
      </c>
      <c r="AY16" s="18">
        <f t="shared" si="36"/>
        <v>4075.4639999999999</v>
      </c>
      <c r="AZ16" s="18">
        <f t="shared" ref="AZ16:BB16" si="37">0.47*12*AZ35</f>
        <v>1974</v>
      </c>
      <c r="BA16" s="18">
        <f t="shared" si="37"/>
        <v>2942.9519999999998</v>
      </c>
      <c r="BB16" s="18">
        <f t="shared" si="37"/>
        <v>2976.2280000000001</v>
      </c>
    </row>
    <row r="17" spans="1:54" s="1" customFormat="1">
      <c r="A17" s="61" t="s">
        <v>32</v>
      </c>
      <c r="B17" s="61"/>
      <c r="C17" s="61"/>
      <c r="D17" s="61"/>
      <c r="E17" s="61"/>
      <c r="F17" s="61"/>
      <c r="G17" s="9" t="s">
        <v>42</v>
      </c>
      <c r="H17" s="18">
        <v>0.32</v>
      </c>
      <c r="I17" s="18">
        <f>0.32*12*I35</f>
        <v>949.63200000000006</v>
      </c>
      <c r="J17" s="18">
        <f t="shared" ref="J17:L17" si="38">0.32*12*J35</f>
        <v>1974.9119999999998</v>
      </c>
      <c r="K17" s="18">
        <f>0.32*12*K35</f>
        <v>593.66399999999999</v>
      </c>
      <c r="L17" s="18">
        <f t="shared" si="38"/>
        <v>945.02399999999989</v>
      </c>
      <c r="M17" s="18">
        <f>0.32*12*M35</f>
        <v>940.03200000000004</v>
      </c>
      <c r="N17" s="18">
        <f t="shared" ref="N17" si="39">0.32*12*N35</f>
        <v>637.82399999999996</v>
      </c>
      <c r="O17" s="18">
        <f>0.32*12*O35</f>
        <v>1915.3920000000001</v>
      </c>
      <c r="P17" s="18">
        <f t="shared" ref="P17" si="40">0.32*12*P35</f>
        <v>2581.6319999999996</v>
      </c>
      <c r="Q17" s="18">
        <f>0.32*12*Q35</f>
        <v>2471.04</v>
      </c>
      <c r="R17" s="18">
        <f t="shared" ref="R17" si="41">0.32*12*R35</f>
        <v>2371.9680000000003</v>
      </c>
      <c r="S17" s="18">
        <f>0.32*12*S35</f>
        <v>1998.3359999999998</v>
      </c>
      <c r="T17" s="18">
        <f t="shared" ref="T17" si="42">0.32*12*T35</f>
        <v>3229.44</v>
      </c>
      <c r="U17" s="18">
        <f>0.32*12*U35</f>
        <v>3227.904</v>
      </c>
      <c r="V17" s="18">
        <f t="shared" ref="V17" si="43">0.32*12*V35</f>
        <v>2602.752</v>
      </c>
      <c r="W17" s="18">
        <f>0.32*12*W35</f>
        <v>3219.0719999999997</v>
      </c>
      <c r="X17" s="18" t="s">
        <v>42</v>
      </c>
      <c r="Y17" s="18">
        <v>0.38</v>
      </c>
      <c r="Z17" s="18">
        <f>0.38*12*Z35</f>
        <v>3278.6400000000003</v>
      </c>
      <c r="AA17" s="18">
        <f t="shared" ref="AA17:AM17" si="44">0.38*12*AA35</f>
        <v>2389.8960000000002</v>
      </c>
      <c r="AB17" s="18">
        <f t="shared" si="44"/>
        <v>1478.3520000000001</v>
      </c>
      <c r="AC17" s="18">
        <f t="shared" si="44"/>
        <v>2372.1120000000005</v>
      </c>
      <c r="AD17" s="18">
        <f t="shared" si="44"/>
        <v>1529.88</v>
      </c>
      <c r="AE17" s="18">
        <f t="shared" si="44"/>
        <v>2319.2160000000003</v>
      </c>
      <c r="AF17" s="18">
        <f t="shared" ref="AF17:AH17" si="45">0.38*12*AF35</f>
        <v>2352.96</v>
      </c>
      <c r="AG17" s="18">
        <f t="shared" si="45"/>
        <v>2335.6320000000005</v>
      </c>
      <c r="AH17" s="18">
        <f t="shared" si="45"/>
        <v>2396.2800000000002</v>
      </c>
      <c r="AI17" s="18">
        <f t="shared" si="44"/>
        <v>2423.1840000000002</v>
      </c>
      <c r="AJ17" s="18">
        <f t="shared" si="44"/>
        <v>2393.0880000000002</v>
      </c>
      <c r="AK17" s="18">
        <f t="shared" si="44"/>
        <v>2329.2480000000005</v>
      </c>
      <c r="AL17" s="18">
        <f t="shared" si="44"/>
        <v>2337.0000000000005</v>
      </c>
      <c r="AM17" s="18">
        <f t="shared" si="44"/>
        <v>2326.5120000000002</v>
      </c>
      <c r="AN17" s="18">
        <f t="shared" ref="AN17:AT17" si="46">0.38*12*AN35</f>
        <v>2335.6320000000005</v>
      </c>
      <c r="AO17" s="18">
        <f t="shared" si="46"/>
        <v>2362.0800000000004</v>
      </c>
      <c r="AP17" s="18">
        <f t="shared" si="46"/>
        <v>2344.2960000000003</v>
      </c>
      <c r="AQ17" s="18">
        <f t="shared" si="46"/>
        <v>2394.9120000000003</v>
      </c>
      <c r="AR17" s="18">
        <f t="shared" si="46"/>
        <v>2409.96</v>
      </c>
      <c r="AS17" s="18">
        <f t="shared" si="46"/>
        <v>2356.6080000000002</v>
      </c>
      <c r="AT17" s="18">
        <f t="shared" si="46"/>
        <v>2336.0880000000002</v>
      </c>
      <c r="AU17" s="18" t="s">
        <v>42</v>
      </c>
      <c r="AV17" s="18">
        <v>0.23</v>
      </c>
      <c r="AW17" s="18">
        <f t="shared" ref="AW17:AY17" si="47">0.23*12*AW35</f>
        <v>248.95200000000003</v>
      </c>
      <c r="AX17" s="18">
        <f t="shared" si="47"/>
        <v>1376.9639999999999</v>
      </c>
      <c r="AY17" s="18">
        <f t="shared" si="47"/>
        <v>1994.3760000000002</v>
      </c>
      <c r="AZ17" s="18">
        <f t="shared" ref="AZ17:BB17" si="48">0.23*12*AZ35</f>
        <v>966.00000000000011</v>
      </c>
      <c r="BA17" s="18">
        <f t="shared" si="48"/>
        <v>1440.1679999999999</v>
      </c>
      <c r="BB17" s="18">
        <f t="shared" si="48"/>
        <v>1456.4520000000002</v>
      </c>
    </row>
    <row r="18" spans="1:54" s="1" customFormat="1" ht="50.25" customHeight="1">
      <c r="A18" s="62" t="s">
        <v>33</v>
      </c>
      <c r="B18" s="63"/>
      <c r="C18" s="63"/>
      <c r="D18" s="63"/>
      <c r="E18" s="63"/>
      <c r="F18" s="64"/>
      <c r="G18" s="11" t="s">
        <v>12</v>
      </c>
      <c r="H18" s="18">
        <v>0.17</v>
      </c>
      <c r="I18" s="18">
        <f>0.17*12*I35</f>
        <v>504.49200000000002</v>
      </c>
      <c r="J18" s="18">
        <f t="shared" ref="J18:L18" si="49">0.17*12*J35</f>
        <v>1049.172</v>
      </c>
      <c r="K18" s="18">
        <f>0.17*12*K35</f>
        <v>315.38400000000001</v>
      </c>
      <c r="L18" s="18">
        <f t="shared" si="49"/>
        <v>502.04399999999998</v>
      </c>
      <c r="M18" s="18">
        <f>0.17*12*M35</f>
        <v>499.39200000000005</v>
      </c>
      <c r="N18" s="18">
        <f t="shared" ref="N18" si="50">0.17*12*N35</f>
        <v>338.84399999999999</v>
      </c>
      <c r="O18" s="18">
        <f>0.17*12*O35</f>
        <v>1017.552</v>
      </c>
      <c r="P18" s="18">
        <f t="shared" ref="P18" si="51">0.17*12*P35</f>
        <v>1371.492</v>
      </c>
      <c r="Q18" s="18">
        <f>0.17*12*Q35</f>
        <v>1312.74</v>
      </c>
      <c r="R18" s="18">
        <f t="shared" ref="R18" si="52">0.17*12*R35</f>
        <v>1260.1080000000002</v>
      </c>
      <c r="S18" s="18">
        <f>0.17*12*S35</f>
        <v>1061.616</v>
      </c>
      <c r="T18" s="18">
        <f t="shared" ref="T18" si="53">0.17*12*T35</f>
        <v>1715.64</v>
      </c>
      <c r="U18" s="18">
        <f>0.17*12*U35</f>
        <v>1714.8240000000001</v>
      </c>
      <c r="V18" s="18">
        <f t="shared" ref="V18" si="54">0.17*12*V35</f>
        <v>1382.712</v>
      </c>
      <c r="W18" s="18">
        <f>0.17*12*W35</f>
        <v>1710.1319999999998</v>
      </c>
      <c r="X18" s="19" t="s">
        <v>12</v>
      </c>
      <c r="Y18" s="18">
        <v>0.27</v>
      </c>
      <c r="Z18" s="18">
        <f>0.27*12*Z35</f>
        <v>2329.56</v>
      </c>
      <c r="AA18" s="18">
        <f t="shared" ref="AA18:AM18" si="55">0.27*12*AA35</f>
        <v>1698.0840000000003</v>
      </c>
      <c r="AB18" s="18">
        <f t="shared" si="55"/>
        <v>1050.4080000000001</v>
      </c>
      <c r="AC18" s="18">
        <f t="shared" si="55"/>
        <v>1685.4480000000003</v>
      </c>
      <c r="AD18" s="18">
        <f t="shared" si="55"/>
        <v>1087.02</v>
      </c>
      <c r="AE18" s="18">
        <f t="shared" si="55"/>
        <v>1647.8640000000003</v>
      </c>
      <c r="AF18" s="18">
        <f t="shared" ref="AF18:AH18" si="56">0.27*12*AF35</f>
        <v>1671.8400000000001</v>
      </c>
      <c r="AG18" s="18">
        <f t="shared" si="56"/>
        <v>1659.5280000000002</v>
      </c>
      <c r="AH18" s="18">
        <f t="shared" si="56"/>
        <v>1702.6200000000001</v>
      </c>
      <c r="AI18" s="18">
        <f t="shared" si="55"/>
        <v>1721.7360000000001</v>
      </c>
      <c r="AJ18" s="18">
        <f t="shared" si="55"/>
        <v>1700.3519999999999</v>
      </c>
      <c r="AK18" s="18">
        <f t="shared" si="55"/>
        <v>1654.9920000000002</v>
      </c>
      <c r="AL18" s="18">
        <f t="shared" si="55"/>
        <v>1660.5</v>
      </c>
      <c r="AM18" s="18">
        <f t="shared" si="55"/>
        <v>1653.048</v>
      </c>
      <c r="AN18" s="18">
        <f t="shared" ref="AN18:AT18" si="57">0.27*12*AN35</f>
        <v>1659.5280000000002</v>
      </c>
      <c r="AO18" s="18">
        <f t="shared" si="57"/>
        <v>1678.3200000000002</v>
      </c>
      <c r="AP18" s="18">
        <f t="shared" si="57"/>
        <v>1665.6840000000002</v>
      </c>
      <c r="AQ18" s="18">
        <f t="shared" si="57"/>
        <v>1701.6480000000004</v>
      </c>
      <c r="AR18" s="18">
        <f t="shared" si="57"/>
        <v>1712.3400000000001</v>
      </c>
      <c r="AS18" s="18">
        <f t="shared" si="57"/>
        <v>1674.432</v>
      </c>
      <c r="AT18" s="18">
        <f t="shared" si="57"/>
        <v>1659.8519999999999</v>
      </c>
      <c r="AU18" s="19" t="s">
        <v>12</v>
      </c>
      <c r="AV18" s="18">
        <v>0.15</v>
      </c>
      <c r="AW18" s="18">
        <f t="shared" ref="AW18:AY18" si="58">0.15*12*AW35</f>
        <v>162.35999999999999</v>
      </c>
      <c r="AX18" s="18">
        <f t="shared" si="58"/>
        <v>898.01999999999987</v>
      </c>
      <c r="AY18" s="18">
        <f t="shared" si="58"/>
        <v>1300.6799999999998</v>
      </c>
      <c r="AZ18" s="18">
        <f t="shared" ref="AZ18:BB18" si="59">0.15*12*AZ35</f>
        <v>629.99999999999989</v>
      </c>
      <c r="BA18" s="18">
        <f t="shared" si="59"/>
        <v>939.23999999999978</v>
      </c>
      <c r="BB18" s="18">
        <f t="shared" si="59"/>
        <v>949.86</v>
      </c>
    </row>
    <row r="19" spans="1:54" s="1" customFormat="1">
      <c r="A19" s="60" t="s">
        <v>34</v>
      </c>
      <c r="B19" s="61"/>
      <c r="C19" s="61"/>
      <c r="D19" s="61"/>
      <c r="E19" s="61"/>
      <c r="F19" s="61"/>
      <c r="G19" s="9" t="s">
        <v>43</v>
      </c>
      <c r="H19" s="18">
        <v>0.05</v>
      </c>
      <c r="I19" s="18">
        <f>0.05*12*I35</f>
        <v>148.38000000000002</v>
      </c>
      <c r="J19" s="18">
        <f t="shared" ref="J19:L19" si="60">0.05*12*J35</f>
        <v>308.58000000000004</v>
      </c>
      <c r="K19" s="18">
        <f>0.05*12*K35</f>
        <v>92.76</v>
      </c>
      <c r="L19" s="18">
        <f t="shared" si="60"/>
        <v>147.66000000000003</v>
      </c>
      <c r="M19" s="18">
        <f>0.05*12*M35</f>
        <v>146.88000000000002</v>
      </c>
      <c r="N19" s="18">
        <f t="shared" ref="N19" si="61">0.05*12*N35</f>
        <v>99.660000000000011</v>
      </c>
      <c r="O19" s="18">
        <f>0.05*12*O35</f>
        <v>299.28000000000003</v>
      </c>
      <c r="P19" s="18">
        <f t="shared" ref="P19" si="62">0.05*12*P35</f>
        <v>403.38000000000005</v>
      </c>
      <c r="Q19" s="18">
        <f>0.05*12*Q35</f>
        <v>386.10000000000008</v>
      </c>
      <c r="R19" s="18">
        <f t="shared" ref="R19" si="63">0.05*12*R35</f>
        <v>370.62000000000006</v>
      </c>
      <c r="S19" s="18">
        <f>0.05*12*S35</f>
        <v>312.24</v>
      </c>
      <c r="T19" s="18">
        <f t="shared" ref="T19" si="64">0.05*12*T35</f>
        <v>504.60000000000008</v>
      </c>
      <c r="U19" s="18">
        <f>0.05*12*U35</f>
        <v>504.36000000000007</v>
      </c>
      <c r="V19" s="18">
        <f t="shared" ref="V19" si="65">0.05*12*V35</f>
        <v>406.68</v>
      </c>
      <c r="W19" s="18">
        <f>0.05*12*W35</f>
        <v>502.98000000000008</v>
      </c>
      <c r="X19" s="18" t="s">
        <v>43</v>
      </c>
      <c r="Y19" s="18">
        <v>0.05</v>
      </c>
      <c r="Z19" s="18">
        <f t="shared" ref="Z19:AM19" si="66">0.05*12*Z35</f>
        <v>431.40000000000009</v>
      </c>
      <c r="AA19" s="18">
        <f t="shared" si="66"/>
        <v>314.46000000000004</v>
      </c>
      <c r="AB19" s="18">
        <f t="shared" si="66"/>
        <v>194.52</v>
      </c>
      <c r="AC19" s="18">
        <f t="shared" si="66"/>
        <v>312.12000000000006</v>
      </c>
      <c r="AD19" s="18">
        <f t="shared" si="66"/>
        <v>201.30000000000004</v>
      </c>
      <c r="AE19" s="18">
        <f t="shared" si="66"/>
        <v>305.16000000000008</v>
      </c>
      <c r="AF19" s="18">
        <f t="shared" ref="AF19:AH19" si="67">0.05*12*AF35</f>
        <v>309.60000000000002</v>
      </c>
      <c r="AG19" s="18">
        <f t="shared" si="67"/>
        <v>307.32000000000005</v>
      </c>
      <c r="AH19" s="18">
        <f t="shared" si="67"/>
        <v>315.30000000000007</v>
      </c>
      <c r="AI19" s="18">
        <f t="shared" si="66"/>
        <v>318.84000000000003</v>
      </c>
      <c r="AJ19" s="18">
        <f t="shared" si="66"/>
        <v>314.88</v>
      </c>
      <c r="AK19" s="18">
        <f t="shared" si="66"/>
        <v>306.48000000000008</v>
      </c>
      <c r="AL19" s="18">
        <f t="shared" si="66"/>
        <v>307.50000000000006</v>
      </c>
      <c r="AM19" s="18">
        <f t="shared" si="66"/>
        <v>306.12000000000006</v>
      </c>
      <c r="AN19" s="18">
        <f t="shared" ref="AN19:AT19" si="68">0.05*12*AN35</f>
        <v>307.32000000000005</v>
      </c>
      <c r="AO19" s="18">
        <f t="shared" si="68"/>
        <v>310.80000000000007</v>
      </c>
      <c r="AP19" s="18">
        <f t="shared" si="68"/>
        <v>308.46000000000004</v>
      </c>
      <c r="AQ19" s="18">
        <f t="shared" si="68"/>
        <v>315.12000000000006</v>
      </c>
      <c r="AR19" s="18">
        <f t="shared" si="68"/>
        <v>317.10000000000002</v>
      </c>
      <c r="AS19" s="18">
        <f t="shared" si="68"/>
        <v>310.08000000000004</v>
      </c>
      <c r="AT19" s="18">
        <f t="shared" si="68"/>
        <v>307.38</v>
      </c>
      <c r="AU19" s="18" t="s">
        <v>43</v>
      </c>
      <c r="AV19" s="18">
        <v>0.05</v>
      </c>
      <c r="AW19" s="18">
        <f t="shared" ref="AW19:AX19" si="69">0.05*12*AW35</f>
        <v>54.120000000000012</v>
      </c>
      <c r="AX19" s="18">
        <f t="shared" si="69"/>
        <v>299.34000000000003</v>
      </c>
      <c r="AY19" s="18">
        <f t="shared" ref="AY19:BA19" si="70">0.05*12*AY35</f>
        <v>433.56000000000006</v>
      </c>
      <c r="AZ19" s="18">
        <f t="shared" si="70"/>
        <v>210.00000000000003</v>
      </c>
      <c r="BA19" s="18">
        <f t="shared" si="70"/>
        <v>313.08000000000004</v>
      </c>
      <c r="BB19" s="18">
        <f t="shared" ref="BB19" si="71">0.05*12*BB35</f>
        <v>316.62000000000006</v>
      </c>
    </row>
    <row r="20" spans="1:54" s="1" customFormat="1" ht="36">
      <c r="A20" s="61" t="s">
        <v>35</v>
      </c>
      <c r="B20" s="61"/>
      <c r="C20" s="61"/>
      <c r="D20" s="61"/>
      <c r="E20" s="61"/>
      <c r="F20" s="61"/>
      <c r="G20" s="7" t="s">
        <v>49</v>
      </c>
      <c r="H20" s="18">
        <v>2.62</v>
      </c>
      <c r="I20" s="18">
        <f>2.62*12*I35</f>
        <v>7775.112000000001</v>
      </c>
      <c r="J20" s="18">
        <f t="shared" ref="J20:L20" si="72">2.62*12*J35</f>
        <v>16169.591999999999</v>
      </c>
      <c r="K20" s="18">
        <f>2.62*12*K35</f>
        <v>4860.6239999999998</v>
      </c>
      <c r="L20" s="18">
        <f t="shared" si="72"/>
        <v>7737.384</v>
      </c>
      <c r="M20" s="18">
        <f>2.62*12*M35</f>
        <v>7696.5120000000006</v>
      </c>
      <c r="N20" s="18">
        <f t="shared" ref="N20" si="73">2.62*12*N35</f>
        <v>5222.1840000000002</v>
      </c>
      <c r="O20" s="18">
        <f>2.62*12*O35</f>
        <v>15682.272000000001</v>
      </c>
      <c r="P20" s="18">
        <f t="shared" ref="P20" si="74">2.62*12*P35</f>
        <v>21137.112000000001</v>
      </c>
      <c r="Q20" s="18">
        <f>2.62*12*Q35</f>
        <v>20231.64</v>
      </c>
      <c r="R20" s="18">
        <f t="shared" ref="R20" si="75">2.62*12*R35</f>
        <v>19420.488000000001</v>
      </c>
      <c r="S20" s="18">
        <f>2.62*12*S35</f>
        <v>16361.376</v>
      </c>
      <c r="T20" s="18">
        <f t="shared" ref="T20" si="76">2.62*12*T35</f>
        <v>26441.040000000001</v>
      </c>
      <c r="U20" s="18">
        <f>2.62*12*U35</f>
        <v>26428.464000000004</v>
      </c>
      <c r="V20" s="18">
        <f t="shared" ref="V20" si="77">2.62*12*V35</f>
        <v>21310.031999999999</v>
      </c>
      <c r="W20" s="18">
        <f>2.62*12*W35</f>
        <v>26356.151999999998</v>
      </c>
      <c r="X20" s="20" t="s">
        <v>49</v>
      </c>
      <c r="Y20" s="18">
        <v>3.89</v>
      </c>
      <c r="Z20" s="18">
        <f>3.89*12*Z35</f>
        <v>33562.92</v>
      </c>
      <c r="AA20" s="18">
        <f t="shared" ref="AA20:AM20" si="78">3.89*12*AA35</f>
        <v>24464.988000000001</v>
      </c>
      <c r="AB20" s="18">
        <f t="shared" si="78"/>
        <v>15133.655999999999</v>
      </c>
      <c r="AC20" s="18">
        <f t="shared" si="78"/>
        <v>24282.936000000002</v>
      </c>
      <c r="AD20" s="18">
        <f t="shared" si="78"/>
        <v>15661.14</v>
      </c>
      <c r="AE20" s="18">
        <f t="shared" si="78"/>
        <v>23741.448</v>
      </c>
      <c r="AF20" s="18">
        <f t="shared" ref="AF20:AH20" si="79">3.89*12*AF35</f>
        <v>24086.880000000001</v>
      </c>
      <c r="AG20" s="18">
        <f t="shared" si="79"/>
        <v>23909.496000000003</v>
      </c>
      <c r="AH20" s="18">
        <f t="shared" si="79"/>
        <v>24530.34</v>
      </c>
      <c r="AI20" s="18">
        <f t="shared" si="78"/>
        <v>24805.752</v>
      </c>
      <c r="AJ20" s="18">
        <f t="shared" si="78"/>
        <v>24497.663999999997</v>
      </c>
      <c r="AK20" s="18">
        <f t="shared" si="78"/>
        <v>23844.144</v>
      </c>
      <c r="AL20" s="18">
        <f t="shared" si="78"/>
        <v>23923.5</v>
      </c>
      <c r="AM20" s="18">
        <f t="shared" si="78"/>
        <v>23816.135999999999</v>
      </c>
      <c r="AN20" s="18">
        <f t="shared" ref="AN20:AT20" si="80">3.89*12*AN35</f>
        <v>23909.496000000003</v>
      </c>
      <c r="AO20" s="18">
        <f t="shared" si="80"/>
        <v>24180.240000000002</v>
      </c>
      <c r="AP20" s="18">
        <f t="shared" si="80"/>
        <v>23998.188000000002</v>
      </c>
      <c r="AQ20" s="18">
        <f t="shared" si="80"/>
        <v>24516.336000000003</v>
      </c>
      <c r="AR20" s="18">
        <f t="shared" si="80"/>
        <v>24670.38</v>
      </c>
      <c r="AS20" s="18">
        <f t="shared" si="80"/>
        <v>24124.223999999998</v>
      </c>
      <c r="AT20" s="18">
        <f t="shared" si="80"/>
        <v>23914.163999999997</v>
      </c>
      <c r="AU20" s="20" t="s">
        <v>49</v>
      </c>
      <c r="AV20" s="18">
        <v>3.89</v>
      </c>
      <c r="AW20" s="18">
        <f t="shared" ref="AW20:AX20" si="81">3.89*12*AW35</f>
        <v>4210.5360000000001</v>
      </c>
      <c r="AX20" s="18">
        <f t="shared" si="81"/>
        <v>23288.651999999998</v>
      </c>
      <c r="AY20" s="18">
        <f t="shared" ref="AY20:BA20" si="82">3.89*12*AY35</f>
        <v>33730.968000000001</v>
      </c>
      <c r="AZ20" s="18">
        <f t="shared" si="82"/>
        <v>16338</v>
      </c>
      <c r="BA20" s="18">
        <f t="shared" si="82"/>
        <v>24357.623999999996</v>
      </c>
      <c r="BB20" s="18">
        <f t="shared" ref="BB20" si="83">3.89*12*BB35</f>
        <v>24633.036000000004</v>
      </c>
    </row>
    <row r="21" spans="1:54" s="1" customFormat="1">
      <c r="A21" s="61" t="s">
        <v>36</v>
      </c>
      <c r="B21" s="61"/>
      <c r="C21" s="61"/>
      <c r="D21" s="61"/>
      <c r="E21" s="61"/>
      <c r="F21" s="61"/>
      <c r="G21" s="9" t="s">
        <v>4</v>
      </c>
      <c r="H21" s="18">
        <v>0</v>
      </c>
      <c r="I21" s="18">
        <f>0*12*I35</f>
        <v>0</v>
      </c>
      <c r="J21" s="18">
        <f t="shared" ref="J21:L21" si="84">0*12*J35</f>
        <v>0</v>
      </c>
      <c r="K21" s="18">
        <f>0*12*K35</f>
        <v>0</v>
      </c>
      <c r="L21" s="18">
        <f t="shared" si="84"/>
        <v>0</v>
      </c>
      <c r="M21" s="18">
        <f>0*12*M35</f>
        <v>0</v>
      </c>
      <c r="N21" s="18">
        <f t="shared" ref="N21" si="85">0*12*N35</f>
        <v>0</v>
      </c>
      <c r="O21" s="18">
        <f>0*12*O35</f>
        <v>0</v>
      </c>
      <c r="P21" s="18">
        <f t="shared" ref="P21" si="86">0*12*P35</f>
        <v>0</v>
      </c>
      <c r="Q21" s="18">
        <f>0*12*Q35</f>
        <v>0</v>
      </c>
      <c r="R21" s="18">
        <f t="shared" ref="R21" si="87">0*12*R35</f>
        <v>0</v>
      </c>
      <c r="S21" s="18">
        <f>0*12*S35</f>
        <v>0</v>
      </c>
      <c r="T21" s="18">
        <f t="shared" ref="T21" si="88">0*12*T35</f>
        <v>0</v>
      </c>
      <c r="U21" s="18">
        <f>0*12*U35</f>
        <v>0</v>
      </c>
      <c r="V21" s="18">
        <f t="shared" ref="V21" si="89">0*12*V35</f>
        <v>0</v>
      </c>
      <c r="W21" s="18">
        <f>0*12*W35</f>
        <v>0</v>
      </c>
      <c r="X21" s="18" t="s">
        <v>4</v>
      </c>
      <c r="Y21" s="18">
        <v>4.7</v>
      </c>
      <c r="Z21" s="18">
        <f>4.7*12*Z35</f>
        <v>40551.600000000006</v>
      </c>
      <c r="AA21" s="18">
        <f t="shared" ref="AA21:AM21" si="90">4.7*12*AA35</f>
        <v>29559.240000000005</v>
      </c>
      <c r="AB21" s="18">
        <f t="shared" si="90"/>
        <v>18284.88</v>
      </c>
      <c r="AC21" s="18">
        <f t="shared" si="90"/>
        <v>29339.280000000006</v>
      </c>
      <c r="AD21" s="18">
        <f t="shared" si="90"/>
        <v>18922.2</v>
      </c>
      <c r="AE21" s="18">
        <f t="shared" si="90"/>
        <v>28685.040000000005</v>
      </c>
      <c r="AF21" s="18">
        <f t="shared" ref="AF21:AH21" si="91">4.7*12*AF35</f>
        <v>29102.400000000001</v>
      </c>
      <c r="AG21" s="18">
        <f t="shared" si="91"/>
        <v>28888.080000000005</v>
      </c>
      <c r="AH21" s="18">
        <f t="shared" si="91"/>
        <v>29638.200000000004</v>
      </c>
      <c r="AI21" s="18">
        <f t="shared" si="90"/>
        <v>29970.960000000003</v>
      </c>
      <c r="AJ21" s="18">
        <f t="shared" si="90"/>
        <v>29598.720000000001</v>
      </c>
      <c r="AK21" s="18">
        <f t="shared" si="90"/>
        <v>28809.120000000003</v>
      </c>
      <c r="AL21" s="18">
        <f t="shared" si="90"/>
        <v>28905.000000000004</v>
      </c>
      <c r="AM21" s="18">
        <f t="shared" si="90"/>
        <v>28775.280000000002</v>
      </c>
      <c r="AN21" s="18">
        <f t="shared" ref="AN21:AT21" si="92">4.7*12*AN35</f>
        <v>28888.080000000005</v>
      </c>
      <c r="AO21" s="18">
        <f t="shared" si="92"/>
        <v>29215.200000000004</v>
      </c>
      <c r="AP21" s="18">
        <f t="shared" si="92"/>
        <v>28995.240000000005</v>
      </c>
      <c r="AQ21" s="18">
        <f t="shared" si="92"/>
        <v>29621.280000000006</v>
      </c>
      <c r="AR21" s="18">
        <f t="shared" si="92"/>
        <v>29807.4</v>
      </c>
      <c r="AS21" s="18">
        <f t="shared" si="92"/>
        <v>29147.52</v>
      </c>
      <c r="AT21" s="18">
        <f t="shared" si="92"/>
        <v>28893.72</v>
      </c>
      <c r="AU21" s="18" t="s">
        <v>4</v>
      </c>
      <c r="AV21" s="18">
        <v>4.7</v>
      </c>
      <c r="AW21" s="18">
        <f t="shared" ref="AW21:AX21" si="93">4.7*12*AW35</f>
        <v>5087.2800000000007</v>
      </c>
      <c r="AX21" s="18">
        <f t="shared" si="93"/>
        <v>28137.960000000003</v>
      </c>
      <c r="AY21" s="18">
        <f t="shared" ref="AY21:BA21" si="94">4.7*12*AY35</f>
        <v>40754.640000000007</v>
      </c>
      <c r="AZ21" s="18">
        <f t="shared" si="94"/>
        <v>19740.000000000004</v>
      </c>
      <c r="BA21" s="18">
        <f t="shared" si="94"/>
        <v>29429.52</v>
      </c>
      <c r="BB21" s="18">
        <f t="shared" ref="BB21" si="95">4.7*12*BB35</f>
        <v>29762.280000000006</v>
      </c>
    </row>
    <row r="22" spans="1:54" s="1" customFormat="1" ht="13.5" customHeight="1">
      <c r="A22" s="65" t="s">
        <v>10</v>
      </c>
      <c r="B22" s="66"/>
      <c r="C22" s="66"/>
      <c r="D22" s="66"/>
      <c r="E22" s="66"/>
      <c r="F22" s="67"/>
      <c r="G22" s="10"/>
      <c r="H22" s="21">
        <f t="shared" ref="H22" si="96">SUM(H23:H27)</f>
        <v>1.94</v>
      </c>
      <c r="I22" s="21">
        <f t="shared" ref="I22:J22" si="97">SUM(I23:I27)</f>
        <v>5757.1440000000002</v>
      </c>
      <c r="J22" s="21">
        <f t="shared" si="97"/>
        <v>11972.903999999999</v>
      </c>
      <c r="K22" s="21">
        <f t="shared" ref="K22:N22" si="98">SUM(K23:K27)</f>
        <v>3599.0879999999997</v>
      </c>
      <c r="L22" s="21">
        <f t="shared" si="98"/>
        <v>5729.2080000000005</v>
      </c>
      <c r="M22" s="21">
        <f t="shared" si="98"/>
        <v>5698.9440000000004</v>
      </c>
      <c r="N22" s="21">
        <f t="shared" si="98"/>
        <v>3866.808</v>
      </c>
      <c r="O22" s="21">
        <f t="shared" ref="O22:V22" si="99">SUM(O23:O27)</f>
        <v>11612.064</v>
      </c>
      <c r="P22" s="21">
        <f t="shared" si="99"/>
        <v>15651.144</v>
      </c>
      <c r="Q22" s="21">
        <f t="shared" si="99"/>
        <v>14980.68</v>
      </c>
      <c r="R22" s="21">
        <f t="shared" si="99"/>
        <v>14380.056000000002</v>
      </c>
      <c r="S22" s="21">
        <f t="shared" si="99"/>
        <v>12114.912</v>
      </c>
      <c r="T22" s="21">
        <f t="shared" si="99"/>
        <v>19578.480000000003</v>
      </c>
      <c r="U22" s="21">
        <f t="shared" si="99"/>
        <v>19569.168000000001</v>
      </c>
      <c r="V22" s="21">
        <f t="shared" si="99"/>
        <v>15779.183999999997</v>
      </c>
      <c r="W22" s="21">
        <f t="shared" ref="W22" si="100">SUM(W23:W27)</f>
        <v>19515.624</v>
      </c>
      <c r="X22" s="17"/>
      <c r="Y22" s="21">
        <v>3.23</v>
      </c>
      <c r="Z22" s="21">
        <f t="shared" ref="Z22:AM22" si="101">SUM(Z23:Z27)</f>
        <v>27868.44</v>
      </c>
      <c r="AA22" s="21">
        <f t="shared" si="101"/>
        <v>20314.116000000002</v>
      </c>
      <c r="AB22" s="21">
        <f t="shared" si="101"/>
        <v>12565.992</v>
      </c>
      <c r="AC22" s="21">
        <f t="shared" si="101"/>
        <v>20162.952000000001</v>
      </c>
      <c r="AD22" s="21">
        <f t="shared" si="101"/>
        <v>13003.98</v>
      </c>
      <c r="AE22" s="21">
        <f t="shared" si="101"/>
        <v>19713.335999999999</v>
      </c>
      <c r="AF22" s="21">
        <f t="shared" ref="AF22:AH22" si="102">SUM(AF23:AF27)</f>
        <v>20000.16</v>
      </c>
      <c r="AG22" s="21">
        <f t="shared" si="102"/>
        <v>19852.871999999999</v>
      </c>
      <c r="AH22" s="21">
        <f t="shared" si="102"/>
        <v>20368.38</v>
      </c>
      <c r="AI22" s="21">
        <f t="shared" si="101"/>
        <v>20597.063999999998</v>
      </c>
      <c r="AJ22" s="21">
        <f t="shared" si="101"/>
        <v>20341.247999999996</v>
      </c>
      <c r="AK22" s="21">
        <f t="shared" si="101"/>
        <v>19798.608</v>
      </c>
      <c r="AL22" s="21">
        <f t="shared" si="101"/>
        <v>19864.5</v>
      </c>
      <c r="AM22" s="21">
        <f t="shared" si="101"/>
        <v>19775.351999999999</v>
      </c>
      <c r="AN22" s="21">
        <f t="shared" ref="AN22:AT22" si="103">SUM(AN23:AN27)</f>
        <v>19852.871999999999</v>
      </c>
      <c r="AO22" s="21">
        <f t="shared" si="103"/>
        <v>20077.68</v>
      </c>
      <c r="AP22" s="21">
        <f t="shared" si="103"/>
        <v>19926.516000000003</v>
      </c>
      <c r="AQ22" s="21">
        <f t="shared" si="103"/>
        <v>20356.752</v>
      </c>
      <c r="AR22" s="21">
        <f t="shared" si="103"/>
        <v>20484.66</v>
      </c>
      <c r="AS22" s="21">
        <f t="shared" si="103"/>
        <v>20031.167999999998</v>
      </c>
      <c r="AT22" s="21">
        <f t="shared" si="103"/>
        <v>19856.747999999996</v>
      </c>
      <c r="AU22" s="17"/>
      <c r="AV22" s="21">
        <v>1.9</v>
      </c>
      <c r="AW22" s="21">
        <f t="shared" ref="AW22:AX22" si="104">SUM(AW23:AW27)</f>
        <v>2056.56</v>
      </c>
      <c r="AX22" s="21">
        <f t="shared" si="104"/>
        <v>11374.919999999998</v>
      </c>
      <c r="AY22" s="21">
        <f t="shared" ref="AY22:BA22" si="105">SUM(AY23:AY27)</f>
        <v>16475.28</v>
      </c>
      <c r="AZ22" s="21">
        <f t="shared" si="105"/>
        <v>7980</v>
      </c>
      <c r="BA22" s="21">
        <f t="shared" si="105"/>
        <v>11897.039999999999</v>
      </c>
      <c r="BB22" s="21">
        <f t="shared" ref="BB22" si="106">SUM(BB23:BB27)</f>
        <v>12031.560000000001</v>
      </c>
    </row>
    <row r="23" spans="1:54" s="1" customFormat="1">
      <c r="A23" s="60" t="s">
        <v>38</v>
      </c>
      <c r="B23" s="61"/>
      <c r="C23" s="61"/>
      <c r="D23" s="61"/>
      <c r="E23" s="61"/>
      <c r="F23" s="61"/>
      <c r="G23" s="9" t="s">
        <v>4</v>
      </c>
      <c r="H23" s="18">
        <v>1.02</v>
      </c>
      <c r="I23" s="18">
        <f>1.02*12*I35</f>
        <v>3026.9520000000002</v>
      </c>
      <c r="J23" s="18">
        <f t="shared" ref="J23:L23" si="107">1.02*12*J35</f>
        <v>6295.0319999999992</v>
      </c>
      <c r="K23" s="18">
        <f>1.02*12*K35</f>
        <v>1892.3039999999999</v>
      </c>
      <c r="L23" s="18">
        <f t="shared" si="107"/>
        <v>3012.2640000000001</v>
      </c>
      <c r="M23" s="18">
        <f>1.02*12*M35</f>
        <v>2996.3520000000003</v>
      </c>
      <c r="N23" s="18">
        <f t="shared" ref="N23" si="108">1.02*12*N35</f>
        <v>2033.0640000000001</v>
      </c>
      <c r="O23" s="18">
        <f>1.02*12*O35</f>
        <v>6105.3119999999999</v>
      </c>
      <c r="P23" s="18">
        <f t="shared" ref="P23" si="109">1.02*12*P35</f>
        <v>8228.9519999999993</v>
      </c>
      <c r="Q23" s="18">
        <f>1.02*12*Q35</f>
        <v>7876.4400000000005</v>
      </c>
      <c r="R23" s="18">
        <f t="shared" ref="R23" si="110">1.02*12*R35</f>
        <v>7560.648000000001</v>
      </c>
      <c r="S23" s="18">
        <f>1.02*12*S35</f>
        <v>6369.6959999999999</v>
      </c>
      <c r="T23" s="18">
        <f t="shared" ref="T23" si="111">1.02*12*T35</f>
        <v>10293.84</v>
      </c>
      <c r="U23" s="18">
        <f>1.02*12*U35</f>
        <v>10288.944000000001</v>
      </c>
      <c r="V23" s="18">
        <f t="shared" ref="V23" si="112">1.02*12*V35</f>
        <v>8296.271999999999</v>
      </c>
      <c r="W23" s="18">
        <f>1.02*12*W35</f>
        <v>10260.791999999999</v>
      </c>
      <c r="X23" s="18" t="s">
        <v>4</v>
      </c>
      <c r="Y23" s="18">
        <v>1.02</v>
      </c>
      <c r="Z23" s="18">
        <f t="shared" ref="Z23:AM23" si="113">1.02*12*Z35</f>
        <v>8800.56</v>
      </c>
      <c r="AA23" s="18">
        <f t="shared" si="113"/>
        <v>6414.9840000000004</v>
      </c>
      <c r="AB23" s="18">
        <f t="shared" si="113"/>
        <v>3968.2080000000001</v>
      </c>
      <c r="AC23" s="18">
        <f t="shared" si="113"/>
        <v>6367.2480000000005</v>
      </c>
      <c r="AD23" s="18">
        <f t="shared" si="113"/>
        <v>4106.5200000000004</v>
      </c>
      <c r="AE23" s="18">
        <f t="shared" si="113"/>
        <v>6225.2640000000001</v>
      </c>
      <c r="AF23" s="18">
        <f t="shared" ref="AF23:AH23" si="114">1.02*12*AF35</f>
        <v>6315.84</v>
      </c>
      <c r="AG23" s="18">
        <f t="shared" si="114"/>
        <v>6269.3280000000004</v>
      </c>
      <c r="AH23" s="18">
        <f t="shared" si="114"/>
        <v>6432.12</v>
      </c>
      <c r="AI23" s="18">
        <f t="shared" si="113"/>
        <v>6504.3360000000002</v>
      </c>
      <c r="AJ23" s="18">
        <f t="shared" si="113"/>
        <v>6423.5519999999997</v>
      </c>
      <c r="AK23" s="18">
        <f t="shared" si="113"/>
        <v>6252.192</v>
      </c>
      <c r="AL23" s="18">
        <f t="shared" si="113"/>
        <v>6273</v>
      </c>
      <c r="AM23" s="18">
        <f t="shared" si="113"/>
        <v>6244.848</v>
      </c>
      <c r="AN23" s="18">
        <f t="shared" ref="AN23:AT23" si="115">1.02*12*AN35</f>
        <v>6269.3280000000004</v>
      </c>
      <c r="AO23" s="18">
        <f t="shared" si="115"/>
        <v>6340.32</v>
      </c>
      <c r="AP23" s="18">
        <f t="shared" si="115"/>
        <v>6292.5840000000007</v>
      </c>
      <c r="AQ23" s="18">
        <f t="shared" si="115"/>
        <v>6428.4480000000003</v>
      </c>
      <c r="AR23" s="18">
        <f t="shared" si="115"/>
        <v>6468.84</v>
      </c>
      <c r="AS23" s="18">
        <f t="shared" si="115"/>
        <v>6325.6319999999996</v>
      </c>
      <c r="AT23" s="18">
        <f t="shared" si="115"/>
        <v>6270.5519999999997</v>
      </c>
      <c r="AU23" s="18" t="s">
        <v>4</v>
      </c>
      <c r="AV23" s="18">
        <v>1.02</v>
      </c>
      <c r="AW23" s="18">
        <f t="shared" ref="AW23:AX23" si="116">1.02*12*AW35</f>
        <v>1104.048</v>
      </c>
      <c r="AX23" s="18">
        <f t="shared" si="116"/>
        <v>6106.5360000000001</v>
      </c>
      <c r="AY23" s="18">
        <f t="shared" ref="AY23:BA23" si="117">1.02*12*AY35</f>
        <v>8844.6239999999998</v>
      </c>
      <c r="AZ23" s="18">
        <f t="shared" si="117"/>
        <v>4284</v>
      </c>
      <c r="BA23" s="18">
        <f t="shared" si="117"/>
        <v>6386.8319999999994</v>
      </c>
      <c r="BB23" s="18">
        <f t="shared" ref="BB23" si="118">1.02*12*BB35</f>
        <v>6459.0480000000007</v>
      </c>
    </row>
    <row r="24" spans="1:54" s="1" customFormat="1">
      <c r="A24" s="60" t="s">
        <v>28</v>
      </c>
      <c r="B24" s="61"/>
      <c r="C24" s="61"/>
      <c r="D24" s="61"/>
      <c r="E24" s="61"/>
      <c r="F24" s="61"/>
      <c r="G24" s="9" t="s">
        <v>3</v>
      </c>
      <c r="H24" s="18">
        <v>0</v>
      </c>
      <c r="I24" s="18">
        <f>0*1242*I35</f>
        <v>0</v>
      </c>
      <c r="J24" s="18">
        <f t="shared" ref="J24:L24" si="119">0*1242*J35</f>
        <v>0</v>
      </c>
      <c r="K24" s="18">
        <f>0*1242*K35</f>
        <v>0</v>
      </c>
      <c r="L24" s="18">
        <f t="shared" si="119"/>
        <v>0</v>
      </c>
      <c r="M24" s="18">
        <f>0*1242*M35</f>
        <v>0</v>
      </c>
      <c r="N24" s="18">
        <f t="shared" ref="N24" si="120">0*1242*N35</f>
        <v>0</v>
      </c>
      <c r="O24" s="18">
        <f>0*1242*O35</f>
        <v>0</v>
      </c>
      <c r="P24" s="18">
        <f t="shared" ref="P24" si="121">0*1242*P35</f>
        <v>0</v>
      </c>
      <c r="Q24" s="18">
        <f>0*1242*Q35</f>
        <v>0</v>
      </c>
      <c r="R24" s="18">
        <f t="shared" ref="R24" si="122">0*1242*R35</f>
        <v>0</v>
      </c>
      <c r="S24" s="18">
        <f>0*1242*S35</f>
        <v>0</v>
      </c>
      <c r="T24" s="18">
        <f t="shared" ref="T24" si="123">0*1242*T35</f>
        <v>0</v>
      </c>
      <c r="U24" s="18">
        <f>0*1242*U35</f>
        <v>0</v>
      </c>
      <c r="V24" s="18">
        <f t="shared" ref="V24" si="124">0*1242*V35</f>
        <v>0</v>
      </c>
      <c r="W24" s="18">
        <f>0*1242*W35</f>
        <v>0</v>
      </c>
      <c r="X24" s="18" t="s">
        <v>3</v>
      </c>
      <c r="Y24" s="18">
        <v>0</v>
      </c>
      <c r="Z24" s="18">
        <f>0*12*Z35</f>
        <v>0</v>
      </c>
      <c r="AA24" s="18">
        <f t="shared" ref="AA24:AM24" si="125">0*12*AA35</f>
        <v>0</v>
      </c>
      <c r="AB24" s="18">
        <f t="shared" si="125"/>
        <v>0</v>
      </c>
      <c r="AC24" s="18">
        <f t="shared" si="125"/>
        <v>0</v>
      </c>
      <c r="AD24" s="18">
        <f t="shared" si="125"/>
        <v>0</v>
      </c>
      <c r="AE24" s="18">
        <f t="shared" si="125"/>
        <v>0</v>
      </c>
      <c r="AF24" s="18">
        <f t="shared" ref="AF24:AH24" si="126">0*12*AF35</f>
        <v>0</v>
      </c>
      <c r="AG24" s="18">
        <f t="shared" si="126"/>
        <v>0</v>
      </c>
      <c r="AH24" s="18">
        <f t="shared" si="126"/>
        <v>0</v>
      </c>
      <c r="AI24" s="18">
        <f t="shared" si="125"/>
        <v>0</v>
      </c>
      <c r="AJ24" s="18">
        <f t="shared" si="125"/>
        <v>0</v>
      </c>
      <c r="AK24" s="18">
        <f t="shared" si="125"/>
        <v>0</v>
      </c>
      <c r="AL24" s="18">
        <f t="shared" si="125"/>
        <v>0</v>
      </c>
      <c r="AM24" s="18">
        <f t="shared" si="125"/>
        <v>0</v>
      </c>
      <c r="AN24" s="18">
        <f t="shared" ref="AN24:AT24" si="127">0*12*AN35</f>
        <v>0</v>
      </c>
      <c r="AO24" s="18">
        <f t="shared" si="127"/>
        <v>0</v>
      </c>
      <c r="AP24" s="18">
        <f t="shared" si="127"/>
        <v>0</v>
      </c>
      <c r="AQ24" s="18">
        <f t="shared" si="127"/>
        <v>0</v>
      </c>
      <c r="AR24" s="18">
        <f t="shared" si="127"/>
        <v>0</v>
      </c>
      <c r="AS24" s="18">
        <f t="shared" si="127"/>
        <v>0</v>
      </c>
      <c r="AT24" s="18">
        <f t="shared" si="127"/>
        <v>0</v>
      </c>
      <c r="AU24" s="18" t="s">
        <v>3</v>
      </c>
      <c r="AV24" s="18">
        <v>0</v>
      </c>
      <c r="AW24" s="18">
        <f t="shared" ref="AW24:AX24" si="128">0*12*AW35</f>
        <v>0</v>
      </c>
      <c r="AX24" s="18">
        <f t="shared" si="128"/>
        <v>0</v>
      </c>
      <c r="AY24" s="18">
        <f t="shared" ref="AY24:BA24" si="129">0*12*AY35</f>
        <v>0</v>
      </c>
      <c r="AZ24" s="18">
        <f t="shared" si="129"/>
        <v>0</v>
      </c>
      <c r="BA24" s="18">
        <f t="shared" si="129"/>
        <v>0</v>
      </c>
      <c r="BB24" s="18">
        <f t="shared" ref="BB24" si="130">0*12*BB35</f>
        <v>0</v>
      </c>
    </row>
    <row r="25" spans="1:54" s="1" customFormat="1" ht="25.5" customHeight="1">
      <c r="A25" s="60" t="s">
        <v>29</v>
      </c>
      <c r="B25" s="60"/>
      <c r="C25" s="60"/>
      <c r="D25" s="60"/>
      <c r="E25" s="60"/>
      <c r="F25" s="60"/>
      <c r="G25" s="9" t="s">
        <v>8</v>
      </c>
      <c r="H25" s="18">
        <v>0</v>
      </c>
      <c r="I25" s="18">
        <f>0*12*I35</f>
        <v>0</v>
      </c>
      <c r="J25" s="18">
        <f t="shared" ref="J25:L25" si="131">0*12*J35</f>
        <v>0</v>
      </c>
      <c r="K25" s="18">
        <f>0*12*K35</f>
        <v>0</v>
      </c>
      <c r="L25" s="18">
        <f t="shared" si="131"/>
        <v>0</v>
      </c>
      <c r="M25" s="18">
        <f>0*12*M35</f>
        <v>0</v>
      </c>
      <c r="N25" s="18">
        <f t="shared" ref="N25" si="132">0*12*N35</f>
        <v>0</v>
      </c>
      <c r="O25" s="18">
        <f>0*12*O35</f>
        <v>0</v>
      </c>
      <c r="P25" s="18">
        <f t="shared" ref="P25" si="133">0*12*P35</f>
        <v>0</v>
      </c>
      <c r="Q25" s="18">
        <f>0*12*Q35</f>
        <v>0</v>
      </c>
      <c r="R25" s="18">
        <f t="shared" ref="R25" si="134">0*12*R35</f>
        <v>0</v>
      </c>
      <c r="S25" s="18">
        <f>0*12*S35</f>
        <v>0</v>
      </c>
      <c r="T25" s="18">
        <f t="shared" ref="T25" si="135">0*12*T35</f>
        <v>0</v>
      </c>
      <c r="U25" s="18">
        <f>0*12*U35</f>
        <v>0</v>
      </c>
      <c r="V25" s="18">
        <f t="shared" ref="V25" si="136">0*12*V35</f>
        <v>0</v>
      </c>
      <c r="W25" s="18">
        <f>0*12*W35</f>
        <v>0</v>
      </c>
      <c r="X25" s="18" t="s">
        <v>8</v>
      </c>
      <c r="Y25" s="18">
        <v>0</v>
      </c>
      <c r="Z25" s="18">
        <f t="shared" ref="Z25:AM25" si="137">0*12*Z35</f>
        <v>0</v>
      </c>
      <c r="AA25" s="18">
        <f t="shared" si="137"/>
        <v>0</v>
      </c>
      <c r="AB25" s="18">
        <f t="shared" si="137"/>
        <v>0</v>
      </c>
      <c r="AC25" s="18">
        <f t="shared" si="137"/>
        <v>0</v>
      </c>
      <c r="AD25" s="18">
        <f t="shared" si="137"/>
        <v>0</v>
      </c>
      <c r="AE25" s="18">
        <f t="shared" si="137"/>
        <v>0</v>
      </c>
      <c r="AF25" s="18">
        <f t="shared" ref="AF25:AH25" si="138">0*12*AF35</f>
        <v>0</v>
      </c>
      <c r="AG25" s="18">
        <f t="shared" si="138"/>
        <v>0</v>
      </c>
      <c r="AH25" s="18">
        <f t="shared" si="138"/>
        <v>0</v>
      </c>
      <c r="AI25" s="18">
        <f t="shared" si="137"/>
        <v>0</v>
      </c>
      <c r="AJ25" s="18">
        <f t="shared" si="137"/>
        <v>0</v>
      </c>
      <c r="AK25" s="18">
        <f t="shared" si="137"/>
        <v>0</v>
      </c>
      <c r="AL25" s="18">
        <f t="shared" si="137"/>
        <v>0</v>
      </c>
      <c r="AM25" s="18">
        <f t="shared" si="137"/>
        <v>0</v>
      </c>
      <c r="AN25" s="18">
        <f t="shared" ref="AN25:AT25" si="139">0*12*AN35</f>
        <v>0</v>
      </c>
      <c r="AO25" s="18">
        <f t="shared" si="139"/>
        <v>0</v>
      </c>
      <c r="AP25" s="18">
        <f t="shared" si="139"/>
        <v>0</v>
      </c>
      <c r="AQ25" s="18">
        <f t="shared" si="139"/>
        <v>0</v>
      </c>
      <c r="AR25" s="18">
        <f t="shared" si="139"/>
        <v>0</v>
      </c>
      <c r="AS25" s="18">
        <f t="shared" si="139"/>
        <v>0</v>
      </c>
      <c r="AT25" s="18">
        <f t="shared" si="139"/>
        <v>0</v>
      </c>
      <c r="AU25" s="18" t="s">
        <v>8</v>
      </c>
      <c r="AV25" s="18">
        <v>0</v>
      </c>
      <c r="AW25" s="18">
        <f t="shared" ref="AW25:AX25" si="140">0*12*AW35</f>
        <v>0</v>
      </c>
      <c r="AX25" s="18">
        <f t="shared" si="140"/>
        <v>0</v>
      </c>
      <c r="AY25" s="18">
        <f t="shared" ref="AY25:BA25" si="141">0*12*AY35</f>
        <v>0</v>
      </c>
      <c r="AZ25" s="18">
        <f t="shared" si="141"/>
        <v>0</v>
      </c>
      <c r="BA25" s="18">
        <f t="shared" si="141"/>
        <v>0</v>
      </c>
      <c r="BB25" s="18">
        <f t="shared" ref="BB25" si="142">0*12*BB35</f>
        <v>0</v>
      </c>
    </row>
    <row r="26" spans="1:54" s="1" customFormat="1" ht="38.25" customHeight="1">
      <c r="A26" s="60" t="s">
        <v>30</v>
      </c>
      <c r="B26" s="60"/>
      <c r="C26" s="60"/>
      <c r="D26" s="60"/>
      <c r="E26" s="60"/>
      <c r="F26" s="60"/>
      <c r="G26" s="11" t="s">
        <v>9</v>
      </c>
      <c r="H26" s="18">
        <f>0.03+0.01</f>
        <v>0.04</v>
      </c>
      <c r="I26" s="18">
        <f>0.04*12*I35</f>
        <v>118.70400000000001</v>
      </c>
      <c r="J26" s="18">
        <f t="shared" ref="J26:L26" si="143">0.04*12*J35</f>
        <v>246.86399999999998</v>
      </c>
      <c r="K26" s="18">
        <f>0.04*12*K35</f>
        <v>74.207999999999998</v>
      </c>
      <c r="L26" s="18">
        <f t="shared" si="143"/>
        <v>118.12799999999999</v>
      </c>
      <c r="M26" s="18">
        <f>0.04*12*M35</f>
        <v>117.504</v>
      </c>
      <c r="N26" s="18">
        <f t="shared" ref="N26" si="144">0.04*12*N35</f>
        <v>79.727999999999994</v>
      </c>
      <c r="O26" s="18">
        <f>0.04*12*O35</f>
        <v>239.42400000000001</v>
      </c>
      <c r="P26" s="18">
        <f t="shared" ref="P26" si="145">0.04*12*P35</f>
        <v>322.70399999999995</v>
      </c>
      <c r="Q26" s="18">
        <f>0.04*12*Q35</f>
        <v>308.88</v>
      </c>
      <c r="R26" s="18">
        <f t="shared" ref="R26" si="146">0.04*12*R35</f>
        <v>296.49600000000004</v>
      </c>
      <c r="S26" s="18">
        <f>0.04*12*S35</f>
        <v>249.79199999999997</v>
      </c>
      <c r="T26" s="18">
        <f t="shared" ref="T26" si="147">0.04*12*T35</f>
        <v>403.68</v>
      </c>
      <c r="U26" s="18">
        <f>0.04*12*U35</f>
        <v>403.488</v>
      </c>
      <c r="V26" s="18">
        <f t="shared" ref="V26" si="148">0.04*12*V35</f>
        <v>325.34399999999999</v>
      </c>
      <c r="W26" s="18">
        <f>0.04*12*W35</f>
        <v>402.38399999999996</v>
      </c>
      <c r="X26" s="19" t="s">
        <v>9</v>
      </c>
      <c r="Y26" s="18">
        <v>0.04</v>
      </c>
      <c r="Z26" s="18">
        <f t="shared" ref="Z26:AM26" si="149">0.04*12*Z35</f>
        <v>345.12</v>
      </c>
      <c r="AA26" s="18">
        <f t="shared" si="149"/>
        <v>251.56800000000001</v>
      </c>
      <c r="AB26" s="18">
        <f t="shared" si="149"/>
        <v>155.61599999999999</v>
      </c>
      <c r="AC26" s="18">
        <f t="shared" si="149"/>
        <v>249.69600000000003</v>
      </c>
      <c r="AD26" s="18">
        <f t="shared" si="149"/>
        <v>161.04</v>
      </c>
      <c r="AE26" s="18">
        <f t="shared" si="149"/>
        <v>244.12800000000001</v>
      </c>
      <c r="AF26" s="18">
        <f t="shared" ref="AF26:AH26" si="150">0.04*12*AF35</f>
        <v>247.67999999999998</v>
      </c>
      <c r="AG26" s="18">
        <f t="shared" si="150"/>
        <v>245.85600000000002</v>
      </c>
      <c r="AH26" s="18">
        <f t="shared" si="150"/>
        <v>252.23999999999998</v>
      </c>
      <c r="AI26" s="18">
        <f t="shared" si="149"/>
        <v>255.07199999999997</v>
      </c>
      <c r="AJ26" s="18">
        <f t="shared" si="149"/>
        <v>251.90399999999997</v>
      </c>
      <c r="AK26" s="18">
        <f t="shared" si="149"/>
        <v>245.184</v>
      </c>
      <c r="AL26" s="18">
        <f t="shared" si="149"/>
        <v>246</v>
      </c>
      <c r="AM26" s="18">
        <f t="shared" si="149"/>
        <v>244.89599999999999</v>
      </c>
      <c r="AN26" s="18">
        <f t="shared" ref="AN26:AT26" si="151">0.04*12*AN35</f>
        <v>245.85600000000002</v>
      </c>
      <c r="AO26" s="18">
        <f t="shared" si="151"/>
        <v>248.64</v>
      </c>
      <c r="AP26" s="18">
        <f t="shared" si="151"/>
        <v>246.768</v>
      </c>
      <c r="AQ26" s="18">
        <f t="shared" si="151"/>
        <v>252.096</v>
      </c>
      <c r="AR26" s="18">
        <f t="shared" si="151"/>
        <v>253.67999999999998</v>
      </c>
      <c r="AS26" s="18">
        <f t="shared" si="151"/>
        <v>248.06399999999996</v>
      </c>
      <c r="AT26" s="18">
        <f t="shared" si="151"/>
        <v>245.90399999999997</v>
      </c>
      <c r="AU26" s="19" t="s">
        <v>9</v>
      </c>
      <c r="AV26" s="18">
        <v>0.04</v>
      </c>
      <c r="AW26" s="18">
        <f t="shared" ref="AW26:AX26" si="152">0.04*12*AW35</f>
        <v>43.295999999999999</v>
      </c>
      <c r="AX26" s="18">
        <f t="shared" si="152"/>
        <v>239.47199999999998</v>
      </c>
      <c r="AY26" s="18">
        <f t="shared" ref="AY26:BA26" si="153">0.04*12*AY35</f>
        <v>346.84800000000001</v>
      </c>
      <c r="AZ26" s="18">
        <f t="shared" si="153"/>
        <v>168</v>
      </c>
      <c r="BA26" s="18">
        <f t="shared" si="153"/>
        <v>250.46399999999997</v>
      </c>
      <c r="BB26" s="18">
        <f t="shared" ref="BB26" si="154">0.04*12*BB35</f>
        <v>253.29600000000002</v>
      </c>
    </row>
    <row r="27" spans="1:54" s="1" customFormat="1" ht="85.5" customHeight="1">
      <c r="A27" s="60" t="s">
        <v>48</v>
      </c>
      <c r="B27" s="60"/>
      <c r="C27" s="60"/>
      <c r="D27" s="60"/>
      <c r="E27" s="60"/>
      <c r="F27" s="60"/>
      <c r="G27" s="9" t="s">
        <v>8</v>
      </c>
      <c r="H27" s="18">
        <f>0.32+0.18+0.38</f>
        <v>0.88</v>
      </c>
      <c r="I27" s="18">
        <f>0.88*12*I35</f>
        <v>2611.4880000000003</v>
      </c>
      <c r="J27" s="18">
        <f t="shared" ref="J27:L27" si="155">0.88*12*J35</f>
        <v>5431.0079999999998</v>
      </c>
      <c r="K27" s="18">
        <f>0.88*12*K35</f>
        <v>1632.576</v>
      </c>
      <c r="L27" s="18">
        <f t="shared" si="155"/>
        <v>2598.8160000000003</v>
      </c>
      <c r="M27" s="18">
        <f>0.88*12*M35</f>
        <v>2585.0880000000002</v>
      </c>
      <c r="N27" s="18">
        <f t="shared" ref="N27" si="156">0.88*12*N35</f>
        <v>1754.0160000000001</v>
      </c>
      <c r="O27" s="18">
        <f>0.88*12*O35</f>
        <v>5267.3280000000004</v>
      </c>
      <c r="P27" s="18">
        <f t="shared" ref="P27" si="157">0.88*12*P35</f>
        <v>7099.4880000000003</v>
      </c>
      <c r="Q27" s="18">
        <f>0.88*12*Q35</f>
        <v>6795.3600000000006</v>
      </c>
      <c r="R27" s="18">
        <f t="shared" ref="R27" si="158">0.88*12*R35</f>
        <v>6522.9120000000012</v>
      </c>
      <c r="S27" s="18">
        <f>0.88*12*S35</f>
        <v>5495.424</v>
      </c>
      <c r="T27" s="18">
        <f t="shared" ref="T27" si="159">0.88*12*T35</f>
        <v>8880.9600000000009</v>
      </c>
      <c r="U27" s="18">
        <f>0.88*12*U35</f>
        <v>8876.7360000000008</v>
      </c>
      <c r="V27" s="18">
        <f t="shared" ref="V27" si="160">0.88*12*V35</f>
        <v>7157.5680000000002</v>
      </c>
      <c r="W27" s="18">
        <f>0.88*12*W35</f>
        <v>8852.4480000000003</v>
      </c>
      <c r="X27" s="18" t="s">
        <v>8</v>
      </c>
      <c r="Y27" s="18">
        <v>2.17</v>
      </c>
      <c r="Z27" s="18">
        <f>2.17*12*Z35</f>
        <v>18722.759999999998</v>
      </c>
      <c r="AA27" s="18">
        <f t="shared" ref="AA27:AM27" si="161">2.17*12*AA35</f>
        <v>13647.564</v>
      </c>
      <c r="AB27" s="18">
        <f t="shared" si="161"/>
        <v>8442.1679999999997</v>
      </c>
      <c r="AC27" s="18">
        <f t="shared" si="161"/>
        <v>13546.008000000002</v>
      </c>
      <c r="AD27" s="18">
        <f t="shared" si="161"/>
        <v>8736.42</v>
      </c>
      <c r="AE27" s="18">
        <f t="shared" si="161"/>
        <v>13243.944</v>
      </c>
      <c r="AF27" s="18">
        <f t="shared" ref="AF27:AH27" si="162">2.17*12*AF35</f>
        <v>13436.64</v>
      </c>
      <c r="AG27" s="18">
        <f t="shared" si="162"/>
        <v>13337.688</v>
      </c>
      <c r="AH27" s="18">
        <f t="shared" si="162"/>
        <v>13684.02</v>
      </c>
      <c r="AI27" s="18">
        <f t="shared" si="161"/>
        <v>13837.655999999999</v>
      </c>
      <c r="AJ27" s="18">
        <f t="shared" si="161"/>
        <v>13665.791999999998</v>
      </c>
      <c r="AK27" s="18">
        <f t="shared" si="161"/>
        <v>13301.232</v>
      </c>
      <c r="AL27" s="18">
        <f t="shared" si="161"/>
        <v>13345.5</v>
      </c>
      <c r="AM27" s="18">
        <f t="shared" si="161"/>
        <v>13285.608</v>
      </c>
      <c r="AN27" s="18">
        <f t="shared" ref="AN27:AT27" si="163">2.17*12*AN35</f>
        <v>13337.688</v>
      </c>
      <c r="AO27" s="18">
        <f t="shared" si="163"/>
        <v>13488.72</v>
      </c>
      <c r="AP27" s="18">
        <f t="shared" si="163"/>
        <v>13387.164000000001</v>
      </c>
      <c r="AQ27" s="18">
        <f t="shared" si="163"/>
        <v>13676.208000000001</v>
      </c>
      <c r="AR27" s="18">
        <f t="shared" si="163"/>
        <v>13762.14</v>
      </c>
      <c r="AS27" s="18">
        <f t="shared" si="163"/>
        <v>13457.471999999998</v>
      </c>
      <c r="AT27" s="18">
        <f t="shared" si="163"/>
        <v>13340.291999999998</v>
      </c>
      <c r="AU27" s="18" t="s">
        <v>8</v>
      </c>
      <c r="AV27" s="18">
        <v>0.84</v>
      </c>
      <c r="AW27" s="18">
        <f t="shared" ref="AW27:AY27" si="164">0.84*12*AW35</f>
        <v>909.21600000000001</v>
      </c>
      <c r="AX27" s="18">
        <f t="shared" si="164"/>
        <v>5028.9119999999994</v>
      </c>
      <c r="AY27" s="18">
        <f t="shared" si="164"/>
        <v>7283.808</v>
      </c>
      <c r="AZ27" s="18">
        <f t="shared" ref="AZ27:BB27" si="165">0.84*12*AZ35</f>
        <v>3528</v>
      </c>
      <c r="BA27" s="18">
        <f t="shared" si="165"/>
        <v>5259.7439999999997</v>
      </c>
      <c r="BB27" s="18">
        <f t="shared" si="165"/>
        <v>5319.2160000000003</v>
      </c>
    </row>
    <row r="28" spans="1:54" s="1" customFormat="1">
      <c r="A28" s="57" t="s">
        <v>7</v>
      </c>
      <c r="B28" s="58"/>
      <c r="C28" s="58"/>
      <c r="D28" s="58"/>
      <c r="E28" s="58"/>
      <c r="F28" s="59"/>
      <c r="G28" s="10"/>
      <c r="H28" s="21">
        <f t="shared" ref="H28" si="166">SUM(H29:H33)</f>
        <v>11.659999999999997</v>
      </c>
      <c r="I28" s="21">
        <f t="shared" ref="I28:J28" si="167">SUM(I29:I33)</f>
        <v>34602.216</v>
      </c>
      <c r="J28" s="21">
        <f t="shared" si="167"/>
        <v>71960.855999999985</v>
      </c>
      <c r="K28" s="21">
        <f t="shared" ref="K28:N28" si="168">SUM(K29:K33)</f>
        <v>21631.631999999998</v>
      </c>
      <c r="L28" s="21">
        <f t="shared" si="168"/>
        <v>34434.311999999998</v>
      </c>
      <c r="M28" s="21">
        <f t="shared" si="168"/>
        <v>34252.415999999997</v>
      </c>
      <c r="N28" s="21">
        <f t="shared" si="168"/>
        <v>23240.711999999996</v>
      </c>
      <c r="O28" s="21">
        <f t="shared" ref="O28:V28" si="169">SUM(O29:O33)</f>
        <v>69792.09599999999</v>
      </c>
      <c r="P28" s="21">
        <f t="shared" si="169"/>
        <v>94068.216</v>
      </c>
      <c r="Q28" s="21">
        <f t="shared" si="169"/>
        <v>90038.51999999999</v>
      </c>
      <c r="R28" s="21">
        <f t="shared" si="169"/>
        <v>86428.584000000003</v>
      </c>
      <c r="S28" s="21">
        <f t="shared" si="169"/>
        <v>72814.367999999988</v>
      </c>
      <c r="T28" s="21">
        <f t="shared" si="169"/>
        <v>117672.71999999997</v>
      </c>
      <c r="U28" s="21">
        <f t="shared" si="169"/>
        <v>117616.75199999999</v>
      </c>
      <c r="V28" s="21">
        <f t="shared" si="169"/>
        <v>94837.775999999998</v>
      </c>
      <c r="W28" s="21">
        <f t="shared" ref="W28" si="170">SUM(W29:W33)</f>
        <v>117294.93599999999</v>
      </c>
      <c r="X28" s="17"/>
      <c r="Y28" s="21">
        <v>7.3299999999999992</v>
      </c>
      <c r="Z28" s="21">
        <f t="shared" ref="Z28:AM28" si="171">SUM(Z29:Z33)</f>
        <v>63243.240000000005</v>
      </c>
      <c r="AA28" s="21">
        <f t="shared" si="171"/>
        <v>46099.836000000003</v>
      </c>
      <c r="AB28" s="21">
        <f t="shared" si="171"/>
        <v>28516.631999999998</v>
      </c>
      <c r="AC28" s="21">
        <f t="shared" si="171"/>
        <v>45756.792000000016</v>
      </c>
      <c r="AD28" s="21">
        <f t="shared" si="171"/>
        <v>29510.58</v>
      </c>
      <c r="AE28" s="21">
        <f t="shared" si="171"/>
        <v>44736.456000000006</v>
      </c>
      <c r="AF28" s="21">
        <f t="shared" ref="AF28:AH28" si="172">SUM(AF29:AF33)</f>
        <v>45387.360000000001</v>
      </c>
      <c r="AG28" s="21">
        <f t="shared" si="172"/>
        <v>45053.112000000001</v>
      </c>
      <c r="AH28" s="21">
        <f t="shared" si="172"/>
        <v>46222.98000000001</v>
      </c>
      <c r="AI28" s="21">
        <f t="shared" si="171"/>
        <v>46741.943999999996</v>
      </c>
      <c r="AJ28" s="21">
        <f t="shared" si="171"/>
        <v>46161.407999999996</v>
      </c>
      <c r="AK28" s="21">
        <f t="shared" si="171"/>
        <v>44929.968000000008</v>
      </c>
      <c r="AL28" s="21">
        <f t="shared" si="171"/>
        <v>45079.5</v>
      </c>
      <c r="AM28" s="21">
        <f t="shared" si="171"/>
        <v>44877.192000000003</v>
      </c>
      <c r="AN28" s="21">
        <f t="shared" ref="AN28:AT28" si="173">SUM(AN29:AN33)</f>
        <v>45053.112000000001</v>
      </c>
      <c r="AO28" s="21">
        <f t="shared" si="173"/>
        <v>45563.28</v>
      </c>
      <c r="AP28" s="21">
        <f t="shared" si="173"/>
        <v>45220.236000000004</v>
      </c>
      <c r="AQ28" s="21">
        <f t="shared" si="173"/>
        <v>46196.592000000004</v>
      </c>
      <c r="AR28" s="21">
        <f t="shared" si="173"/>
        <v>46486.86</v>
      </c>
      <c r="AS28" s="21">
        <f t="shared" si="173"/>
        <v>45457.728000000003</v>
      </c>
      <c r="AT28" s="21">
        <f t="shared" si="173"/>
        <v>45061.907999999996</v>
      </c>
      <c r="AU28" s="17"/>
      <c r="AV28" s="21">
        <v>9.370000000000001</v>
      </c>
      <c r="AW28" s="21">
        <f t="shared" ref="AW28:AX28" si="174">SUM(AW29:AW33)</f>
        <v>10142.088000000002</v>
      </c>
      <c r="AX28" s="21">
        <f t="shared" si="174"/>
        <v>56096.315999999992</v>
      </c>
      <c r="AY28" s="21">
        <f t="shared" ref="AY28:BA28" si="175">SUM(AY29:AY33)</f>
        <v>81249.144000000015</v>
      </c>
      <c r="AZ28" s="21">
        <f t="shared" si="175"/>
        <v>39354</v>
      </c>
      <c r="BA28" s="21">
        <f t="shared" si="175"/>
        <v>58671.191999999995</v>
      </c>
      <c r="BB28" s="21">
        <f t="shared" ref="BB28" si="176">SUM(BB29:BB33)</f>
        <v>59334.588000000003</v>
      </c>
    </row>
    <row r="29" spans="1:54" s="1" customFormat="1" ht="193.5" customHeight="1">
      <c r="A29" s="60" t="s">
        <v>39</v>
      </c>
      <c r="B29" s="60"/>
      <c r="C29" s="60"/>
      <c r="D29" s="60"/>
      <c r="E29" s="60"/>
      <c r="F29" s="60"/>
      <c r="G29" s="11" t="s">
        <v>44</v>
      </c>
      <c r="H29" s="18">
        <f>0.49+0.35+2.46+2.46+0.81+0.1+0.13+0.14+0.1+0.03+0.02+0.04+0.01</f>
        <v>7.1399999999999988</v>
      </c>
      <c r="I29" s="18">
        <f>7.14*12*I35</f>
        <v>21188.664000000001</v>
      </c>
      <c r="J29" s="18">
        <f t="shared" ref="J29:L29" si="177">7.14*12*J35</f>
        <v>44065.223999999995</v>
      </c>
      <c r="K29" s="18">
        <f>7.14*12*K35</f>
        <v>13246.127999999999</v>
      </c>
      <c r="L29" s="18">
        <f t="shared" si="177"/>
        <v>21085.847999999998</v>
      </c>
      <c r="M29" s="18">
        <f>7.14*12*M35</f>
        <v>20974.464</v>
      </c>
      <c r="N29" s="18">
        <f t="shared" ref="N29" si="178">7.14*12*N35</f>
        <v>14231.447999999999</v>
      </c>
      <c r="O29" s="18">
        <f>7.14*12*O35</f>
        <v>42737.183999999994</v>
      </c>
      <c r="P29" s="18">
        <f t="shared" ref="P29" si="179">7.14*12*P35</f>
        <v>57602.66399999999</v>
      </c>
      <c r="Q29" s="18">
        <f>7.14*12*Q35</f>
        <v>55135.079999999994</v>
      </c>
      <c r="R29" s="18">
        <f t="shared" ref="R29" si="180">7.14*12*R35</f>
        <v>52924.536</v>
      </c>
      <c r="S29" s="18">
        <f>7.14*12*S35</f>
        <v>44587.871999999996</v>
      </c>
      <c r="T29" s="18">
        <f t="shared" ref="T29" si="181">7.14*12*T35</f>
        <v>72056.87999999999</v>
      </c>
      <c r="U29" s="18">
        <f>7.14*12*U35</f>
        <v>72022.607999999993</v>
      </c>
      <c r="V29" s="18">
        <f t="shared" ref="V29" si="182">7.14*12*V35</f>
        <v>58073.903999999988</v>
      </c>
      <c r="W29" s="18">
        <f>7.14*12*W35</f>
        <v>71825.543999999994</v>
      </c>
      <c r="X29" s="19" t="s">
        <v>44</v>
      </c>
      <c r="Y29" s="18">
        <v>1.57</v>
      </c>
      <c r="Z29" s="18">
        <f>1.57*12*Z35</f>
        <v>13545.96</v>
      </c>
      <c r="AA29" s="18">
        <f t="shared" ref="AA29:AM29" si="183">1.57*12*AA35</f>
        <v>9874.0439999999999</v>
      </c>
      <c r="AB29" s="18">
        <f t="shared" si="183"/>
        <v>6107.9279999999999</v>
      </c>
      <c r="AC29" s="18">
        <f t="shared" si="183"/>
        <v>9800.5680000000011</v>
      </c>
      <c r="AD29" s="18">
        <f t="shared" si="183"/>
        <v>6320.82</v>
      </c>
      <c r="AE29" s="18">
        <f t="shared" si="183"/>
        <v>9582.0240000000013</v>
      </c>
      <c r="AF29" s="18">
        <f t="shared" ref="AF29:AH29" si="184">1.57*12*AF35</f>
        <v>9721.44</v>
      </c>
      <c r="AG29" s="18">
        <f t="shared" si="184"/>
        <v>9649.848</v>
      </c>
      <c r="AH29" s="18">
        <f t="shared" si="184"/>
        <v>9900.42</v>
      </c>
      <c r="AI29" s="18">
        <f t="shared" si="183"/>
        <v>10011.575999999999</v>
      </c>
      <c r="AJ29" s="18">
        <f t="shared" si="183"/>
        <v>9887.232</v>
      </c>
      <c r="AK29" s="18">
        <f t="shared" si="183"/>
        <v>9623.4719999999998</v>
      </c>
      <c r="AL29" s="18">
        <f t="shared" si="183"/>
        <v>9655.5</v>
      </c>
      <c r="AM29" s="18">
        <f t="shared" si="183"/>
        <v>9612.1679999999997</v>
      </c>
      <c r="AN29" s="18">
        <f t="shared" ref="AN29:AT29" si="185">1.57*12*AN35</f>
        <v>9649.848</v>
      </c>
      <c r="AO29" s="18">
        <f t="shared" si="185"/>
        <v>9759.1200000000008</v>
      </c>
      <c r="AP29" s="18">
        <f t="shared" si="185"/>
        <v>9685.6440000000002</v>
      </c>
      <c r="AQ29" s="18">
        <f t="shared" si="185"/>
        <v>9894.768</v>
      </c>
      <c r="AR29" s="18">
        <f t="shared" si="185"/>
        <v>9956.94</v>
      </c>
      <c r="AS29" s="18">
        <f t="shared" si="185"/>
        <v>9736.5119999999988</v>
      </c>
      <c r="AT29" s="18">
        <f t="shared" si="185"/>
        <v>9651.732</v>
      </c>
      <c r="AU29" s="19" t="s">
        <v>44</v>
      </c>
      <c r="AV29" s="18">
        <v>5.91</v>
      </c>
      <c r="AW29" s="18">
        <f t="shared" ref="AW29:AY29" si="186">5.91*12*AW35</f>
        <v>6396.9840000000004</v>
      </c>
      <c r="AX29" s="18">
        <f t="shared" si="186"/>
        <v>35381.987999999998</v>
      </c>
      <c r="AY29" s="18">
        <f t="shared" si="186"/>
        <v>51246.792000000001</v>
      </c>
      <c r="AZ29" s="18">
        <f t="shared" ref="AZ29:BB29" si="187">5.91*12*AZ35</f>
        <v>24822</v>
      </c>
      <c r="BA29" s="18">
        <f t="shared" si="187"/>
        <v>37006.055999999997</v>
      </c>
      <c r="BB29" s="18">
        <f t="shared" si="187"/>
        <v>37424.484000000004</v>
      </c>
    </row>
    <row r="30" spans="1:54" s="1" customFormat="1" ht="81" customHeight="1">
      <c r="A30" s="61" t="s">
        <v>6</v>
      </c>
      <c r="B30" s="61"/>
      <c r="C30" s="61"/>
      <c r="D30" s="61"/>
      <c r="E30" s="61"/>
      <c r="F30" s="61"/>
      <c r="G30" s="11" t="s">
        <v>5</v>
      </c>
      <c r="H30" s="18">
        <v>1.4</v>
      </c>
      <c r="I30" s="18">
        <f>1.4*12*I35</f>
        <v>4154.6399999999994</v>
      </c>
      <c r="J30" s="18">
        <f t="shared" ref="J30:L30" si="188">1.4*12*J35</f>
        <v>8640.239999999998</v>
      </c>
      <c r="K30" s="18">
        <f>1.4*12*K35</f>
        <v>2597.2799999999993</v>
      </c>
      <c r="L30" s="18">
        <f t="shared" si="188"/>
        <v>4134.4799999999996</v>
      </c>
      <c r="M30" s="18">
        <f>1.4*12*M35</f>
        <v>4112.6399999999994</v>
      </c>
      <c r="N30" s="18">
        <f t="shared" ref="N30" si="189">1.4*12*N35</f>
        <v>2790.4799999999996</v>
      </c>
      <c r="O30" s="18">
        <f>1.4*12*O35</f>
        <v>8379.8399999999983</v>
      </c>
      <c r="P30" s="18">
        <f t="shared" ref="P30" si="190">1.4*12*P35</f>
        <v>11294.639999999998</v>
      </c>
      <c r="Q30" s="18">
        <f>1.4*12*Q35</f>
        <v>10810.799999999997</v>
      </c>
      <c r="R30" s="18">
        <f t="shared" ref="R30" si="191">1.4*12*R35</f>
        <v>10377.359999999999</v>
      </c>
      <c r="S30" s="18">
        <f>1.4*12*S35</f>
        <v>8742.7199999999975</v>
      </c>
      <c r="T30" s="18">
        <f t="shared" ref="T30" si="192">1.4*12*T35</f>
        <v>14128.799999999997</v>
      </c>
      <c r="U30" s="18">
        <f>1.4*12*U35</f>
        <v>14122.079999999998</v>
      </c>
      <c r="V30" s="18">
        <f t="shared" ref="V30" si="193">1.4*12*V35</f>
        <v>11387.039999999997</v>
      </c>
      <c r="W30" s="18">
        <f>1.4*12*W35</f>
        <v>14083.439999999997</v>
      </c>
      <c r="X30" s="19" t="s">
        <v>5</v>
      </c>
      <c r="Y30" s="18">
        <v>1.85</v>
      </c>
      <c r="Z30" s="18">
        <f>1.85*12*Z35</f>
        <v>15961.800000000003</v>
      </c>
      <c r="AA30" s="18">
        <f t="shared" ref="AA30:AM30" si="194">1.85*12*AA35</f>
        <v>11635.020000000002</v>
      </c>
      <c r="AB30" s="18">
        <f t="shared" si="194"/>
        <v>7197.2400000000007</v>
      </c>
      <c r="AC30" s="18">
        <f t="shared" si="194"/>
        <v>11548.440000000002</v>
      </c>
      <c r="AD30" s="18">
        <f t="shared" si="194"/>
        <v>7448.1000000000013</v>
      </c>
      <c r="AE30" s="18">
        <f t="shared" si="194"/>
        <v>11290.920000000002</v>
      </c>
      <c r="AF30" s="18">
        <f t="shared" ref="AF30:AH30" si="195">1.85*12*AF35</f>
        <v>11455.2</v>
      </c>
      <c r="AG30" s="18">
        <f t="shared" si="195"/>
        <v>11370.840000000002</v>
      </c>
      <c r="AH30" s="18">
        <f t="shared" si="195"/>
        <v>11666.100000000002</v>
      </c>
      <c r="AI30" s="18">
        <f t="shared" si="194"/>
        <v>11797.080000000002</v>
      </c>
      <c r="AJ30" s="18">
        <f t="shared" si="194"/>
        <v>11650.560000000001</v>
      </c>
      <c r="AK30" s="18">
        <f t="shared" si="194"/>
        <v>11339.760000000002</v>
      </c>
      <c r="AL30" s="18">
        <f t="shared" si="194"/>
        <v>11377.500000000002</v>
      </c>
      <c r="AM30" s="18">
        <f t="shared" si="194"/>
        <v>11326.44</v>
      </c>
      <c r="AN30" s="18">
        <f t="shared" ref="AN30:AT30" si="196">1.85*12*AN35</f>
        <v>11370.840000000002</v>
      </c>
      <c r="AO30" s="18">
        <f t="shared" si="196"/>
        <v>11499.600000000002</v>
      </c>
      <c r="AP30" s="18">
        <f t="shared" si="196"/>
        <v>11413.020000000002</v>
      </c>
      <c r="AQ30" s="18">
        <f t="shared" si="196"/>
        <v>11659.440000000002</v>
      </c>
      <c r="AR30" s="18">
        <f t="shared" si="196"/>
        <v>11732.7</v>
      </c>
      <c r="AS30" s="18">
        <f t="shared" si="196"/>
        <v>11472.960000000001</v>
      </c>
      <c r="AT30" s="18">
        <f t="shared" si="196"/>
        <v>11373.060000000001</v>
      </c>
      <c r="AU30" s="19" t="s">
        <v>5</v>
      </c>
      <c r="AV30" s="18">
        <v>1.2</v>
      </c>
      <c r="AW30" s="18">
        <f t="shared" ref="AW30:AY30" si="197">1.2*12*AW35</f>
        <v>1298.8799999999999</v>
      </c>
      <c r="AX30" s="18">
        <f t="shared" si="197"/>
        <v>7184.1599999999989</v>
      </c>
      <c r="AY30" s="18">
        <f t="shared" si="197"/>
        <v>10405.439999999999</v>
      </c>
      <c r="AZ30" s="18">
        <f t="shared" ref="AZ30:BB30" si="198">1.2*12*AZ35</f>
        <v>5039.9999999999991</v>
      </c>
      <c r="BA30" s="18">
        <f t="shared" si="198"/>
        <v>7513.9199999999983</v>
      </c>
      <c r="BB30" s="18">
        <f t="shared" si="198"/>
        <v>7598.88</v>
      </c>
    </row>
    <row r="31" spans="1:54" s="1" customFormat="1" ht="24">
      <c r="A31" s="61" t="s">
        <v>37</v>
      </c>
      <c r="B31" s="61"/>
      <c r="C31" s="61"/>
      <c r="D31" s="61"/>
      <c r="E31" s="61"/>
      <c r="F31" s="61"/>
      <c r="G31" s="7" t="s">
        <v>45</v>
      </c>
      <c r="H31" s="18">
        <f>0.51+0.3+0.22+0.12+0.17+0.22</f>
        <v>1.5399999999999998</v>
      </c>
      <c r="I31" s="18">
        <f>1.54*12*I35</f>
        <v>4570.1040000000003</v>
      </c>
      <c r="J31" s="18">
        <f t="shared" ref="J31:L31" si="199">1.54*12*J35</f>
        <v>9504.2639999999992</v>
      </c>
      <c r="K31" s="18">
        <f>1.54*12*K35</f>
        <v>2857.0079999999998</v>
      </c>
      <c r="L31" s="18">
        <f t="shared" si="199"/>
        <v>4547.9279999999999</v>
      </c>
      <c r="M31" s="18">
        <f>1.54*12*M35</f>
        <v>4523.9040000000005</v>
      </c>
      <c r="N31" s="18">
        <f t="shared" ref="N31" si="200">1.54*12*N35</f>
        <v>3069.5279999999998</v>
      </c>
      <c r="O31" s="18">
        <f>1.54*12*O35</f>
        <v>9217.8240000000005</v>
      </c>
      <c r="P31" s="18">
        <f t="shared" ref="P31" si="201">1.54*12*P35</f>
        <v>12424.103999999999</v>
      </c>
      <c r="Q31" s="18">
        <f>1.54*12*Q35</f>
        <v>11891.880000000001</v>
      </c>
      <c r="R31" s="18">
        <f t="shared" ref="R31" si="202">1.54*12*R35</f>
        <v>11415.096000000001</v>
      </c>
      <c r="S31" s="18">
        <f>1.54*12*S35</f>
        <v>9616.9920000000002</v>
      </c>
      <c r="T31" s="18">
        <f t="shared" ref="T31" si="203">1.54*12*T35</f>
        <v>15541.68</v>
      </c>
      <c r="U31" s="18">
        <f>1.54*12*U35</f>
        <v>15534.288</v>
      </c>
      <c r="V31" s="18">
        <f t="shared" ref="V31" si="204">1.54*12*V35</f>
        <v>12525.743999999999</v>
      </c>
      <c r="W31" s="18">
        <f>1.54*12*W35</f>
        <v>15491.784</v>
      </c>
      <c r="X31" s="20" t="s">
        <v>45</v>
      </c>
      <c r="Y31" s="18">
        <v>2.1199999999999997</v>
      </c>
      <c r="Z31" s="18">
        <f>2.12*12*Z35</f>
        <v>18291.36</v>
      </c>
      <c r="AA31" s="18">
        <f t="shared" ref="AA31:AM31" si="205">2.12*12*AA35</f>
        <v>13333.104000000001</v>
      </c>
      <c r="AB31" s="18">
        <f t="shared" si="205"/>
        <v>8247.6479999999992</v>
      </c>
      <c r="AC31" s="18">
        <f t="shared" si="205"/>
        <v>13233.888000000003</v>
      </c>
      <c r="AD31" s="18">
        <f t="shared" si="205"/>
        <v>8535.1200000000008</v>
      </c>
      <c r="AE31" s="18">
        <f t="shared" si="205"/>
        <v>12938.784000000001</v>
      </c>
      <c r="AF31" s="18">
        <f t="shared" ref="AF31:AH31" si="206">2.12*12*AF35</f>
        <v>13127.04</v>
      </c>
      <c r="AG31" s="18">
        <f t="shared" si="206"/>
        <v>13030.368000000002</v>
      </c>
      <c r="AH31" s="18">
        <f t="shared" si="206"/>
        <v>13368.720000000001</v>
      </c>
      <c r="AI31" s="18">
        <f t="shared" si="205"/>
        <v>13518.816000000001</v>
      </c>
      <c r="AJ31" s="18">
        <f t="shared" si="205"/>
        <v>13350.912</v>
      </c>
      <c r="AK31" s="18">
        <f t="shared" si="205"/>
        <v>12994.752</v>
      </c>
      <c r="AL31" s="18">
        <f t="shared" si="205"/>
        <v>13038</v>
      </c>
      <c r="AM31" s="18">
        <f t="shared" si="205"/>
        <v>12979.488000000001</v>
      </c>
      <c r="AN31" s="18">
        <f t="shared" ref="AN31:AT31" si="207">2.12*12*AN35</f>
        <v>13030.368000000002</v>
      </c>
      <c r="AO31" s="18">
        <f t="shared" si="207"/>
        <v>13177.92</v>
      </c>
      <c r="AP31" s="18">
        <f t="shared" si="207"/>
        <v>13078.704000000002</v>
      </c>
      <c r="AQ31" s="18">
        <f t="shared" si="207"/>
        <v>13361.088000000002</v>
      </c>
      <c r="AR31" s="18">
        <f t="shared" si="207"/>
        <v>13445.04</v>
      </c>
      <c r="AS31" s="18">
        <f t="shared" si="207"/>
        <v>13147.392</v>
      </c>
      <c r="AT31" s="18">
        <f t="shared" si="207"/>
        <v>13032.912</v>
      </c>
      <c r="AU31" s="20" t="s">
        <v>45</v>
      </c>
      <c r="AV31" s="18">
        <v>1.1099999999999999</v>
      </c>
      <c r="AW31" s="18">
        <f t="shared" ref="AW31:AY31" si="208">1.11*12*AW35</f>
        <v>1201.4640000000002</v>
      </c>
      <c r="AX31" s="18">
        <f t="shared" si="208"/>
        <v>6645.348</v>
      </c>
      <c r="AY31" s="18">
        <f t="shared" si="208"/>
        <v>9625.0320000000011</v>
      </c>
      <c r="AZ31" s="18">
        <f t="shared" ref="AZ31:BB31" si="209">1.11*12*AZ35</f>
        <v>4662</v>
      </c>
      <c r="BA31" s="18">
        <f t="shared" si="209"/>
        <v>6950.3759999999993</v>
      </c>
      <c r="BB31" s="18">
        <f t="shared" si="209"/>
        <v>7028.9640000000009</v>
      </c>
    </row>
    <row r="32" spans="1:54" s="1" customFormat="1">
      <c r="A32" s="61" t="s">
        <v>51</v>
      </c>
      <c r="B32" s="61"/>
      <c r="C32" s="61"/>
      <c r="D32" s="61"/>
      <c r="E32" s="61"/>
      <c r="F32" s="61"/>
      <c r="G32" s="9" t="s">
        <v>4</v>
      </c>
      <c r="H32" s="18">
        <v>0.87</v>
      </c>
      <c r="I32" s="18">
        <f>0.87*12*I35</f>
        <v>2581.8119999999999</v>
      </c>
      <c r="J32" s="18">
        <f t="shared" ref="J32:L32" si="210">0.87*12*J35</f>
        <v>5369.2919999999995</v>
      </c>
      <c r="K32" s="18">
        <f>0.87*12*K35</f>
        <v>1614.0239999999999</v>
      </c>
      <c r="L32" s="18">
        <f t="shared" si="210"/>
        <v>2569.2839999999997</v>
      </c>
      <c r="M32" s="18">
        <f>0.87*12*M35</f>
        <v>2555.712</v>
      </c>
      <c r="N32" s="18">
        <f t="shared" ref="N32" si="211">0.87*12*N35</f>
        <v>1734.0839999999998</v>
      </c>
      <c r="O32" s="18">
        <f>0.87*12*O35</f>
        <v>5207.4719999999998</v>
      </c>
      <c r="P32" s="18">
        <f t="shared" ref="P32" si="212">0.87*12*P35</f>
        <v>7018.811999999999</v>
      </c>
      <c r="Q32" s="18">
        <f>0.87*12*Q35</f>
        <v>6718.1399999999994</v>
      </c>
      <c r="R32" s="18">
        <f t="shared" ref="R32" si="213">0.87*12*R35</f>
        <v>6448.7880000000005</v>
      </c>
      <c r="S32" s="18">
        <f>0.87*12*S35</f>
        <v>5432.9759999999997</v>
      </c>
      <c r="T32" s="18">
        <f t="shared" ref="T32" si="214">0.87*12*T35</f>
        <v>8780.0399999999991</v>
      </c>
      <c r="U32" s="18">
        <f>0.87*12*U35</f>
        <v>8775.8639999999996</v>
      </c>
      <c r="V32" s="18">
        <f t="shared" ref="V32" si="215">0.87*12*V35</f>
        <v>7076.2319999999991</v>
      </c>
      <c r="W32" s="18">
        <f>0.87*12*W35</f>
        <v>8751.851999999999</v>
      </c>
      <c r="X32" s="18" t="s">
        <v>4</v>
      </c>
      <c r="Y32" s="18">
        <v>1.36</v>
      </c>
      <c r="Z32" s="18">
        <f>1.36*12*Z35</f>
        <v>11734.08</v>
      </c>
      <c r="AA32" s="18">
        <f t="shared" ref="AA32:AM32" si="216">1.36*12*AA35</f>
        <v>8553.3119999999999</v>
      </c>
      <c r="AB32" s="18">
        <f t="shared" si="216"/>
        <v>5290.9439999999995</v>
      </c>
      <c r="AC32" s="18">
        <f t="shared" si="216"/>
        <v>8489.6640000000007</v>
      </c>
      <c r="AD32" s="18">
        <f t="shared" si="216"/>
        <v>5475.36</v>
      </c>
      <c r="AE32" s="18">
        <f t="shared" si="216"/>
        <v>8300.3520000000008</v>
      </c>
      <c r="AF32" s="18">
        <f t="shared" ref="AF32:AH32" si="217">1.36*12*AF35</f>
        <v>8421.1200000000008</v>
      </c>
      <c r="AG32" s="18">
        <f t="shared" si="217"/>
        <v>8359.1040000000012</v>
      </c>
      <c r="AH32" s="18">
        <f t="shared" si="217"/>
        <v>8576.16</v>
      </c>
      <c r="AI32" s="18">
        <f t="shared" si="216"/>
        <v>8672.4480000000003</v>
      </c>
      <c r="AJ32" s="18">
        <f t="shared" si="216"/>
        <v>8564.735999999999</v>
      </c>
      <c r="AK32" s="18">
        <f t="shared" si="216"/>
        <v>8336.2560000000012</v>
      </c>
      <c r="AL32" s="18">
        <f t="shared" si="216"/>
        <v>8364</v>
      </c>
      <c r="AM32" s="18">
        <f t="shared" si="216"/>
        <v>8326.4639999999999</v>
      </c>
      <c r="AN32" s="18">
        <f t="shared" ref="AN32:AT32" si="218">1.36*12*AN35</f>
        <v>8359.1040000000012</v>
      </c>
      <c r="AO32" s="18">
        <f t="shared" si="218"/>
        <v>8453.76</v>
      </c>
      <c r="AP32" s="18">
        <f t="shared" si="218"/>
        <v>8390.112000000001</v>
      </c>
      <c r="AQ32" s="18">
        <f t="shared" si="218"/>
        <v>8571.264000000001</v>
      </c>
      <c r="AR32" s="18">
        <f t="shared" si="218"/>
        <v>8625.1200000000008</v>
      </c>
      <c r="AS32" s="18">
        <f t="shared" si="218"/>
        <v>8434.1759999999995</v>
      </c>
      <c r="AT32" s="18">
        <f t="shared" si="218"/>
        <v>8360.735999999999</v>
      </c>
      <c r="AU32" s="18" t="s">
        <v>4</v>
      </c>
      <c r="AV32" s="18">
        <v>0.94</v>
      </c>
      <c r="AW32" s="18">
        <f t="shared" ref="AW32:AY32" si="219">0.94*12*AW35</f>
        <v>1017.456</v>
      </c>
      <c r="AX32" s="18">
        <f t="shared" si="219"/>
        <v>5627.5919999999996</v>
      </c>
      <c r="AY32" s="18">
        <f t="shared" si="219"/>
        <v>8150.9279999999999</v>
      </c>
      <c r="AZ32" s="18">
        <f t="shared" ref="AZ32:BB32" si="220">0.94*12*AZ35</f>
        <v>3948</v>
      </c>
      <c r="BA32" s="18">
        <f t="shared" si="220"/>
        <v>5885.9039999999995</v>
      </c>
      <c r="BB32" s="18">
        <f t="shared" si="220"/>
        <v>5952.4560000000001</v>
      </c>
    </row>
    <row r="33" spans="1:61" s="1" customFormat="1">
      <c r="A33" s="61" t="s">
        <v>52</v>
      </c>
      <c r="B33" s="61"/>
      <c r="C33" s="61"/>
      <c r="D33" s="61"/>
      <c r="E33" s="61"/>
      <c r="F33" s="61"/>
      <c r="G33" s="9" t="s">
        <v>8</v>
      </c>
      <c r="H33" s="18">
        <v>0.71</v>
      </c>
      <c r="I33" s="18">
        <f>0.71*12*I35</f>
        <v>2106.9960000000001</v>
      </c>
      <c r="J33" s="18">
        <f t="shared" ref="J33:L33" si="221">0.71*12*J35</f>
        <v>4381.8359999999993</v>
      </c>
      <c r="K33" s="18">
        <f>0.71*12*K35</f>
        <v>1317.1919999999998</v>
      </c>
      <c r="L33" s="18">
        <f t="shared" si="221"/>
        <v>2096.7719999999999</v>
      </c>
      <c r="M33" s="18">
        <f>0.71*12*M35</f>
        <v>2085.6959999999999</v>
      </c>
      <c r="N33" s="18">
        <f t="shared" ref="N33" si="222">0.71*12*N35</f>
        <v>1415.1719999999998</v>
      </c>
      <c r="O33" s="18">
        <f>0.71*12*O35</f>
        <v>4249.7759999999998</v>
      </c>
      <c r="P33" s="18">
        <f t="shared" ref="P33" si="223">0.71*12*P35</f>
        <v>5727.9959999999992</v>
      </c>
      <c r="Q33" s="18">
        <f>0.71*12*Q35</f>
        <v>5482.62</v>
      </c>
      <c r="R33" s="18">
        <f t="shared" ref="R33" si="224">0.71*12*R35</f>
        <v>5262.8040000000001</v>
      </c>
      <c r="S33" s="18">
        <f>0.71*12*S35</f>
        <v>4433.808</v>
      </c>
      <c r="T33" s="18">
        <f t="shared" ref="T33" si="225">0.71*12*T35</f>
        <v>7165.32</v>
      </c>
      <c r="U33" s="18">
        <f>0.71*12*U35</f>
        <v>7161.9120000000003</v>
      </c>
      <c r="V33" s="18">
        <f t="shared" ref="V33" si="226">0.71*12*V35</f>
        <v>5774.8559999999998</v>
      </c>
      <c r="W33" s="18">
        <f>0.71*12*W35</f>
        <v>7142.3159999999989</v>
      </c>
      <c r="X33" s="18" t="s">
        <v>8</v>
      </c>
      <c r="Y33" s="18">
        <v>0.43</v>
      </c>
      <c r="Z33" s="18">
        <f>0.43*12*Z35</f>
        <v>3710.04</v>
      </c>
      <c r="AA33" s="18">
        <f t="shared" ref="AA33:AM33" si="227">0.43*12*AA35</f>
        <v>2704.3560000000002</v>
      </c>
      <c r="AB33" s="18">
        <f t="shared" si="227"/>
        <v>1672.8720000000001</v>
      </c>
      <c r="AC33" s="18">
        <f t="shared" si="227"/>
        <v>2684.2320000000004</v>
      </c>
      <c r="AD33" s="18">
        <f t="shared" si="227"/>
        <v>1731.18</v>
      </c>
      <c r="AE33" s="18">
        <f t="shared" si="227"/>
        <v>2624.3760000000002</v>
      </c>
      <c r="AF33" s="18">
        <f t="shared" ref="AF33:AH33" si="228">0.43*12*AF35</f>
        <v>2662.56</v>
      </c>
      <c r="AG33" s="18">
        <f t="shared" si="228"/>
        <v>2642.9520000000002</v>
      </c>
      <c r="AH33" s="18">
        <f t="shared" si="228"/>
        <v>2711.58</v>
      </c>
      <c r="AI33" s="18">
        <f t="shared" si="227"/>
        <v>2742.0239999999999</v>
      </c>
      <c r="AJ33" s="18">
        <f t="shared" si="227"/>
        <v>2707.9679999999998</v>
      </c>
      <c r="AK33" s="18">
        <f t="shared" si="227"/>
        <v>2635.7280000000001</v>
      </c>
      <c r="AL33" s="18">
        <f t="shared" si="227"/>
        <v>2644.5</v>
      </c>
      <c r="AM33" s="18">
        <f t="shared" si="227"/>
        <v>2632.6320000000001</v>
      </c>
      <c r="AN33" s="18">
        <f t="shared" ref="AN33:AT33" si="229">0.43*12*AN35</f>
        <v>2642.9520000000002</v>
      </c>
      <c r="AO33" s="18">
        <f t="shared" si="229"/>
        <v>2672.88</v>
      </c>
      <c r="AP33" s="18">
        <f t="shared" si="229"/>
        <v>2652.7560000000003</v>
      </c>
      <c r="AQ33" s="18">
        <f t="shared" si="229"/>
        <v>2710.0320000000002</v>
      </c>
      <c r="AR33" s="18">
        <f t="shared" si="229"/>
        <v>2727.06</v>
      </c>
      <c r="AS33" s="18">
        <f t="shared" si="229"/>
        <v>2666.6879999999996</v>
      </c>
      <c r="AT33" s="18">
        <f t="shared" si="229"/>
        <v>2643.4679999999998</v>
      </c>
      <c r="AU33" s="18" t="s">
        <v>8</v>
      </c>
      <c r="AV33" s="18">
        <v>0.21</v>
      </c>
      <c r="AW33" s="18">
        <f t="shared" ref="AW33:AY33" si="230">0.21*12*AW35</f>
        <v>227.304</v>
      </c>
      <c r="AX33" s="18">
        <f t="shared" si="230"/>
        <v>1257.2279999999998</v>
      </c>
      <c r="AY33" s="18">
        <f t="shared" si="230"/>
        <v>1820.952</v>
      </c>
      <c r="AZ33" s="18">
        <f t="shared" ref="AZ33:BB33" si="231">0.21*12*AZ35</f>
        <v>882</v>
      </c>
      <c r="BA33" s="18">
        <f t="shared" si="231"/>
        <v>1314.9359999999999</v>
      </c>
      <c r="BB33" s="18">
        <f t="shared" si="231"/>
        <v>1329.8040000000001</v>
      </c>
    </row>
    <row r="34" spans="1:61" s="1" customFormat="1">
      <c r="A34" s="50" t="s">
        <v>2</v>
      </c>
      <c r="B34" s="51"/>
      <c r="C34" s="51"/>
      <c r="D34" s="51"/>
      <c r="E34" s="51"/>
      <c r="F34" s="52"/>
      <c r="G34" s="24"/>
      <c r="H34" s="25"/>
      <c r="I34" s="26">
        <f>I14+I22+I28</f>
        <v>54158.7</v>
      </c>
      <c r="J34" s="26">
        <f t="shared" ref="J34:L34" si="232">J14+J22+J28</f>
        <v>112631.69999999998</v>
      </c>
      <c r="K34" s="26">
        <f>K14+K22+K28</f>
        <v>33857.399999999994</v>
      </c>
      <c r="L34" s="26">
        <f t="shared" si="232"/>
        <v>53895.899999999994</v>
      </c>
      <c r="M34" s="26">
        <f>M14+M22+M28</f>
        <v>53611.199999999997</v>
      </c>
      <c r="N34" s="26">
        <f t="shared" ref="N34" si="233">N14+N22+N28</f>
        <v>36375.899999999994</v>
      </c>
      <c r="O34" s="26">
        <f>O14+O22+O28</f>
        <v>109237.19999999998</v>
      </c>
      <c r="P34" s="26">
        <f t="shared" ref="P34" si="234">P14+P22+P28</f>
        <v>147233.70000000001</v>
      </c>
      <c r="Q34" s="26">
        <f>Q14+Q22+Q28</f>
        <v>140926.5</v>
      </c>
      <c r="R34" s="26">
        <f t="shared" ref="R34" si="235">R14+R22+R28</f>
        <v>135276.30000000002</v>
      </c>
      <c r="S34" s="26">
        <f>S14+S22+S28</f>
        <v>113967.59999999999</v>
      </c>
      <c r="T34" s="26">
        <f t="shared" ref="T34" si="236">T14+T22+T28</f>
        <v>184178.99999999997</v>
      </c>
      <c r="U34" s="26">
        <f>U14+U22+U28</f>
        <v>184091.40000000002</v>
      </c>
      <c r="V34" s="26">
        <f t="shared" ref="V34" si="237">V14+V22+V28</f>
        <v>148438.20000000001</v>
      </c>
      <c r="W34" s="26">
        <f>W14+W22+W28</f>
        <v>183587.69999999998</v>
      </c>
      <c r="X34" s="25"/>
      <c r="Y34" s="27"/>
      <c r="Z34" s="26">
        <f>Z14+Z22+Z28</f>
        <v>187141.32</v>
      </c>
      <c r="AA34" s="26">
        <f t="shared" ref="AA34:AM34" si="238">AA14+AA22+AA28</f>
        <v>136412.74800000002</v>
      </c>
      <c r="AB34" s="26">
        <f t="shared" si="238"/>
        <v>84382.775999999998</v>
      </c>
      <c r="AC34" s="26">
        <f t="shared" si="238"/>
        <v>135397.65600000002</v>
      </c>
      <c r="AD34" s="26">
        <f t="shared" si="238"/>
        <v>87323.94</v>
      </c>
      <c r="AE34" s="26">
        <f t="shared" si="238"/>
        <v>132378.408</v>
      </c>
      <c r="AF34" s="26">
        <f t="shared" ref="AF34:AH34" si="239">AF14+AF22+AF28</f>
        <v>134304.47999999998</v>
      </c>
      <c r="AG34" s="26">
        <f t="shared" si="239"/>
        <v>133315.41600000003</v>
      </c>
      <c r="AH34" s="26">
        <f t="shared" si="239"/>
        <v>136777.14000000001</v>
      </c>
      <c r="AI34" s="26">
        <f t="shared" si="238"/>
        <v>138312.79199999999</v>
      </c>
      <c r="AJ34" s="26">
        <f t="shared" si="238"/>
        <v>136594.94399999999</v>
      </c>
      <c r="AK34" s="26">
        <f t="shared" si="238"/>
        <v>132951.02400000003</v>
      </c>
      <c r="AL34" s="26">
        <f t="shared" si="238"/>
        <v>133393.5</v>
      </c>
      <c r="AM34" s="26">
        <f t="shared" si="238"/>
        <v>132794.856</v>
      </c>
      <c r="AN34" s="26">
        <f t="shared" ref="AN34:AT34" si="240">AN14+AN22+AN28</f>
        <v>133315.41600000003</v>
      </c>
      <c r="AO34" s="26">
        <f t="shared" si="240"/>
        <v>134825.04</v>
      </c>
      <c r="AP34" s="26">
        <f t="shared" si="240"/>
        <v>133809.94800000003</v>
      </c>
      <c r="AQ34" s="26">
        <f t="shared" si="240"/>
        <v>136699.05600000001</v>
      </c>
      <c r="AR34" s="26">
        <f t="shared" si="240"/>
        <v>137557.97999999998</v>
      </c>
      <c r="AS34" s="26">
        <f t="shared" si="240"/>
        <v>134512.704</v>
      </c>
      <c r="AT34" s="26">
        <f t="shared" si="240"/>
        <v>133341.44399999999</v>
      </c>
      <c r="AU34" s="25"/>
      <c r="AV34" s="28"/>
      <c r="AW34" s="26">
        <f t="shared" ref="AW34:AY34" si="241">AW14+AW22+AW28</f>
        <v>23509.728000000003</v>
      </c>
      <c r="AX34" s="26">
        <f t="shared" si="241"/>
        <v>130033.29599999999</v>
      </c>
      <c r="AY34" s="26">
        <f t="shared" si="241"/>
        <v>188338.46400000004</v>
      </c>
      <c r="AZ34" s="26">
        <f t="shared" ref="AZ34:BB34" si="242">AZ14+AZ22+AZ28</f>
        <v>91224</v>
      </c>
      <c r="BA34" s="26">
        <f t="shared" si="242"/>
        <v>136001.95199999999</v>
      </c>
      <c r="BB34" s="26">
        <f t="shared" si="242"/>
        <v>137539.728</v>
      </c>
      <c r="BC34" s="39">
        <f>SUM(I34:BB34)</f>
        <v>5183658.1559999995</v>
      </c>
      <c r="BD34" s="1">
        <f>BC34/12*0.05</f>
        <v>21598.575649999999</v>
      </c>
    </row>
    <row r="35" spans="1:61" s="35" customFormat="1">
      <c r="A35" s="53" t="s">
        <v>1</v>
      </c>
      <c r="B35" s="53"/>
      <c r="C35" s="53"/>
      <c r="D35" s="53"/>
      <c r="E35" s="53"/>
      <c r="F35" s="53"/>
      <c r="G35" s="36"/>
      <c r="H35" s="37"/>
      <c r="I35" s="40" t="s">
        <v>100</v>
      </c>
      <c r="J35" s="40" t="s">
        <v>101</v>
      </c>
      <c r="K35" s="40" t="s">
        <v>102</v>
      </c>
      <c r="L35" s="40" t="s">
        <v>103</v>
      </c>
      <c r="M35" s="40" t="s">
        <v>104</v>
      </c>
      <c r="N35" s="40" t="s">
        <v>105</v>
      </c>
      <c r="O35" s="40" t="s">
        <v>106</v>
      </c>
      <c r="P35" s="40" t="s">
        <v>107</v>
      </c>
      <c r="Q35" s="40" t="s">
        <v>108</v>
      </c>
      <c r="R35" s="40" t="s">
        <v>109</v>
      </c>
      <c r="S35" s="40" t="s">
        <v>110</v>
      </c>
      <c r="T35" s="40" t="s">
        <v>111</v>
      </c>
      <c r="U35" s="40" t="s">
        <v>112</v>
      </c>
      <c r="V35" s="40" t="s">
        <v>113</v>
      </c>
      <c r="W35" s="40" t="s">
        <v>114</v>
      </c>
      <c r="X35" s="38"/>
      <c r="Y35" s="37"/>
      <c r="Z35" s="40" t="s">
        <v>115</v>
      </c>
      <c r="AA35" s="40" t="s">
        <v>116</v>
      </c>
      <c r="AB35" s="40" t="s">
        <v>117</v>
      </c>
      <c r="AC35" s="40" t="s">
        <v>118</v>
      </c>
      <c r="AD35" s="40" t="s">
        <v>119</v>
      </c>
      <c r="AE35" s="40" t="s">
        <v>120</v>
      </c>
      <c r="AF35" s="40" t="s">
        <v>121</v>
      </c>
      <c r="AG35" s="40" t="s">
        <v>122</v>
      </c>
      <c r="AH35" s="40" t="s">
        <v>123</v>
      </c>
      <c r="AI35" s="40" t="s">
        <v>124</v>
      </c>
      <c r="AJ35" s="40" t="s">
        <v>125</v>
      </c>
      <c r="AK35" s="40" t="s">
        <v>126</v>
      </c>
      <c r="AL35" s="40" t="s">
        <v>127</v>
      </c>
      <c r="AM35" s="40" t="s">
        <v>128</v>
      </c>
      <c r="AN35" s="40" t="s">
        <v>122</v>
      </c>
      <c r="AO35" s="40" t="s">
        <v>129</v>
      </c>
      <c r="AP35" s="40" t="s">
        <v>130</v>
      </c>
      <c r="AQ35" s="40" t="s">
        <v>131</v>
      </c>
      <c r="AR35" s="40" t="s">
        <v>132</v>
      </c>
      <c r="AS35" s="40" t="s">
        <v>133</v>
      </c>
      <c r="AT35" s="40" t="s">
        <v>134</v>
      </c>
      <c r="AU35" s="38"/>
      <c r="AV35" s="38"/>
      <c r="AW35" s="40" t="s">
        <v>135</v>
      </c>
      <c r="AX35" s="40" t="s">
        <v>136</v>
      </c>
      <c r="AY35" s="40" t="s">
        <v>137</v>
      </c>
      <c r="AZ35" s="40" t="s">
        <v>138</v>
      </c>
      <c r="BA35" s="40" t="s">
        <v>139</v>
      </c>
      <c r="BB35" s="40" t="s">
        <v>140</v>
      </c>
    </row>
    <row r="36" spans="1:61" s="2" customFormat="1" ht="25.5" customHeight="1">
      <c r="A36" s="54" t="s">
        <v>50</v>
      </c>
      <c r="B36" s="55"/>
      <c r="C36" s="55"/>
      <c r="D36" s="55"/>
      <c r="E36" s="55"/>
      <c r="F36" s="56"/>
      <c r="G36" s="29"/>
      <c r="H36" s="30">
        <f>H14+H22+H28</f>
        <v>18.249999999999996</v>
      </c>
      <c r="I36" s="30">
        <f>I34 /12/I35</f>
        <v>18.249999999999996</v>
      </c>
      <c r="J36" s="30">
        <f t="shared" ref="J36:L36" si="243">J34 /12/J35</f>
        <v>18.25</v>
      </c>
      <c r="K36" s="30">
        <f>K34 /12/K35</f>
        <v>18.249999999999996</v>
      </c>
      <c r="L36" s="30">
        <f t="shared" si="243"/>
        <v>18.25</v>
      </c>
      <c r="M36" s="30">
        <f>M34 /12/M35</f>
        <v>18.249999999999996</v>
      </c>
      <c r="N36" s="30">
        <f t="shared" ref="N36" si="244">N34 /12/N35</f>
        <v>18.249999999999996</v>
      </c>
      <c r="O36" s="30">
        <f>O34 /12/O35</f>
        <v>18.249999999999996</v>
      </c>
      <c r="P36" s="30">
        <f t="shared" ref="P36" si="245">P34 /12/P35</f>
        <v>18.25</v>
      </c>
      <c r="Q36" s="30">
        <f>Q34 /12/Q35</f>
        <v>18.25</v>
      </c>
      <c r="R36" s="30">
        <f t="shared" ref="R36" si="246">R34 /12/R35</f>
        <v>18.25</v>
      </c>
      <c r="S36" s="30">
        <f>S34 /12/S35</f>
        <v>18.25</v>
      </c>
      <c r="T36" s="30">
        <f t="shared" ref="T36" si="247">T34 /12/T35</f>
        <v>18.249999999999996</v>
      </c>
      <c r="U36" s="30">
        <f>U34 /12/U35</f>
        <v>18.250000000000004</v>
      </c>
      <c r="V36" s="30">
        <f t="shared" ref="V36" si="248">V34 /12/V35</f>
        <v>18.25</v>
      </c>
      <c r="W36" s="30">
        <f>W34 /12/W35</f>
        <v>18.25</v>
      </c>
      <c r="X36" s="30"/>
      <c r="Y36" s="30">
        <v>21.689999999999998</v>
      </c>
      <c r="Z36" s="30">
        <f>Z34/12/Z35</f>
        <v>21.69</v>
      </c>
      <c r="AA36" s="30">
        <f t="shared" ref="AA36:AM36" si="249">AA34/12/AA35</f>
        <v>21.69</v>
      </c>
      <c r="AB36" s="30">
        <f t="shared" si="249"/>
        <v>21.69</v>
      </c>
      <c r="AC36" s="30">
        <f t="shared" si="249"/>
        <v>21.69</v>
      </c>
      <c r="AD36" s="30">
        <f t="shared" si="249"/>
        <v>21.69</v>
      </c>
      <c r="AE36" s="30">
        <f t="shared" si="249"/>
        <v>21.689999999999998</v>
      </c>
      <c r="AF36" s="30">
        <f t="shared" ref="AF36:AH36" si="250">AF34/12/AF35</f>
        <v>21.689999999999998</v>
      </c>
      <c r="AG36" s="30">
        <f t="shared" si="250"/>
        <v>21.69</v>
      </c>
      <c r="AH36" s="30">
        <f t="shared" si="250"/>
        <v>21.69</v>
      </c>
      <c r="AI36" s="30">
        <f t="shared" si="249"/>
        <v>21.689999999999998</v>
      </c>
      <c r="AJ36" s="30">
        <f t="shared" si="249"/>
        <v>21.689999999999998</v>
      </c>
      <c r="AK36" s="30">
        <f t="shared" si="249"/>
        <v>21.690000000000005</v>
      </c>
      <c r="AL36" s="30">
        <f t="shared" si="249"/>
        <v>21.69</v>
      </c>
      <c r="AM36" s="30">
        <f t="shared" si="249"/>
        <v>21.689999999999998</v>
      </c>
      <c r="AN36" s="30">
        <f t="shared" ref="AN36:AT36" si="251">AN34/12/AN35</f>
        <v>21.69</v>
      </c>
      <c r="AO36" s="30">
        <f t="shared" si="251"/>
        <v>21.69</v>
      </c>
      <c r="AP36" s="30">
        <f t="shared" si="251"/>
        <v>21.690000000000005</v>
      </c>
      <c r="AQ36" s="30">
        <f t="shared" si="251"/>
        <v>21.69</v>
      </c>
      <c r="AR36" s="30">
        <f t="shared" si="251"/>
        <v>21.689999999999998</v>
      </c>
      <c r="AS36" s="30">
        <f t="shared" si="251"/>
        <v>21.69</v>
      </c>
      <c r="AT36" s="30">
        <f t="shared" si="251"/>
        <v>21.689999999999998</v>
      </c>
      <c r="AU36" s="30"/>
      <c r="AV36" s="30">
        <v>21.72</v>
      </c>
      <c r="AW36" s="30">
        <f t="shared" ref="AW36:AY36" si="252">AW34/12/AW35</f>
        <v>21.720000000000002</v>
      </c>
      <c r="AX36" s="30">
        <f t="shared" si="252"/>
        <v>21.72</v>
      </c>
      <c r="AY36" s="30">
        <f t="shared" si="252"/>
        <v>21.720000000000002</v>
      </c>
      <c r="AZ36" s="30">
        <f t="shared" ref="AZ36:BB36" si="253">AZ34/12/AZ35</f>
        <v>21.72</v>
      </c>
      <c r="BA36" s="30">
        <f t="shared" si="253"/>
        <v>21.72</v>
      </c>
      <c r="BB36" s="30">
        <f t="shared" si="253"/>
        <v>21.72</v>
      </c>
    </row>
    <row r="37" spans="1:61" s="1" customFormat="1" ht="12.75" customHeight="1">
      <c r="A37" s="6"/>
      <c r="B37" s="6"/>
      <c r="C37" s="6"/>
      <c r="D37" s="6"/>
      <c r="E37" s="6"/>
      <c r="F37" s="6"/>
      <c r="G37" s="6"/>
      <c r="H37" s="8"/>
      <c r="I37" s="8"/>
      <c r="J37" s="8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8"/>
      <c r="Z37" s="8"/>
      <c r="AA37" s="8"/>
      <c r="AB37" s="8"/>
      <c r="AC37" s="8"/>
      <c r="AD37" s="8"/>
      <c r="AE37" s="8"/>
      <c r="AF37" s="13"/>
      <c r="AG37" s="13"/>
      <c r="AH37" s="13"/>
      <c r="AI37" s="8"/>
      <c r="AJ37" s="8"/>
      <c r="AK37" s="8"/>
      <c r="AL37" s="8"/>
      <c r="AM37" s="12"/>
      <c r="AN37" s="13"/>
      <c r="AO37" s="13"/>
      <c r="AP37" s="13"/>
      <c r="AQ37" s="13"/>
      <c r="AR37" s="13"/>
      <c r="AS37" s="13"/>
      <c r="AT37" s="13"/>
      <c r="AU37" s="6"/>
      <c r="AV37" s="12"/>
      <c r="AW37" s="12"/>
      <c r="AX37" s="12"/>
      <c r="AY37" s="12"/>
      <c r="AZ37" s="12"/>
      <c r="BA37" s="12"/>
      <c r="BB37" s="12"/>
    </row>
    <row r="38" spans="1:61" s="1" customFormat="1" ht="12.75" hidden="1" customHeight="1">
      <c r="A38" s="6"/>
      <c r="B38" s="6"/>
      <c r="C38" s="6"/>
      <c r="D38" s="6"/>
      <c r="E38" s="6"/>
      <c r="F38" s="6"/>
      <c r="G38" s="6"/>
      <c r="H38" s="8"/>
      <c r="I38" s="8"/>
      <c r="J38" s="8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6"/>
      <c r="Y38" s="8"/>
      <c r="Z38" s="8"/>
      <c r="AA38" s="8"/>
      <c r="AB38" s="8"/>
      <c r="AC38" s="8"/>
      <c r="AD38" s="8"/>
      <c r="AE38" s="8"/>
      <c r="AF38" s="13"/>
      <c r="AG38" s="13"/>
      <c r="AH38" s="13"/>
      <c r="AI38" s="8"/>
      <c r="AJ38" s="8"/>
      <c r="AK38" s="8"/>
      <c r="AL38" s="8"/>
      <c r="AM38" s="12"/>
      <c r="AN38" s="13"/>
      <c r="AO38" s="13"/>
      <c r="AP38" s="13"/>
      <c r="AQ38" s="13"/>
      <c r="AR38" s="13"/>
      <c r="AS38" s="13"/>
      <c r="AT38" s="13"/>
      <c r="AU38" s="6"/>
      <c r="AV38" s="12"/>
      <c r="AW38" s="12"/>
      <c r="AX38" s="12"/>
      <c r="AY38" s="12"/>
      <c r="AZ38" s="12"/>
      <c r="BA38" s="12"/>
      <c r="BB38" s="12"/>
    </row>
    <row r="39" spans="1:61" s="1" customFormat="1">
      <c r="A39" s="6"/>
      <c r="B39" s="6"/>
      <c r="C39" s="6"/>
      <c r="D39" s="6"/>
      <c r="E39" s="6"/>
      <c r="F39" s="6"/>
      <c r="G39" s="6"/>
      <c r="H39" s="8"/>
      <c r="I39" s="8"/>
      <c r="J39" s="8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6"/>
      <c r="Y39" s="8"/>
      <c r="Z39" s="8"/>
      <c r="AA39" s="8"/>
      <c r="AB39" s="8"/>
      <c r="AC39" s="8"/>
      <c r="AD39" s="8"/>
      <c r="AE39" s="8"/>
      <c r="AF39" s="13"/>
      <c r="AG39" s="13"/>
      <c r="AH39" s="13"/>
      <c r="AI39" s="8"/>
      <c r="AJ39" s="8"/>
      <c r="AK39" s="8"/>
      <c r="AL39" s="8"/>
      <c r="AM39" s="6"/>
      <c r="AN39" s="13"/>
      <c r="AO39" s="13"/>
      <c r="AP39" s="13"/>
      <c r="AQ39" s="13"/>
      <c r="AR39" s="13"/>
      <c r="AS39" s="13"/>
      <c r="AT39" s="13"/>
      <c r="AU39" s="6"/>
      <c r="AV39" s="6"/>
      <c r="AW39" s="6"/>
      <c r="AX39" s="6"/>
      <c r="AY39" s="6"/>
      <c r="AZ39" s="6"/>
      <c r="BA39" s="6"/>
      <c r="BB39" s="6"/>
      <c r="BH39"/>
      <c r="BI39"/>
    </row>
    <row r="40" spans="1:61" s="1" customFormat="1">
      <c r="A40" s="6"/>
      <c r="B40" s="6"/>
      <c r="C40" s="6"/>
      <c r="D40" s="6"/>
      <c r="E40" s="6"/>
      <c r="F40" s="6"/>
      <c r="G40" s="6"/>
      <c r="H40" s="8"/>
      <c r="I40" s="8"/>
      <c r="J40" s="8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6"/>
      <c r="Y40" s="8"/>
      <c r="Z40" s="8"/>
      <c r="AA40" s="8"/>
      <c r="AB40" s="8"/>
      <c r="AC40" s="8"/>
      <c r="AD40" s="8"/>
      <c r="AE40" s="8"/>
      <c r="AF40" s="13"/>
      <c r="AG40" s="13"/>
      <c r="AH40" s="13"/>
      <c r="AI40" s="8"/>
      <c r="AJ40" s="8"/>
      <c r="AK40" s="8"/>
      <c r="AL40" s="8"/>
      <c r="AM40" s="6"/>
      <c r="AN40" s="13"/>
      <c r="AO40" s="13"/>
      <c r="AP40" s="13"/>
      <c r="AQ40" s="13"/>
      <c r="AR40" s="13"/>
      <c r="AS40" s="13"/>
      <c r="AT40" s="13"/>
      <c r="AU40" s="6"/>
      <c r="AV40" s="6"/>
      <c r="AW40" s="6"/>
      <c r="AX40" s="6"/>
      <c r="AY40" s="6"/>
      <c r="AZ40" s="6"/>
      <c r="BA40" s="6"/>
      <c r="BB40" s="6"/>
      <c r="BH40"/>
      <c r="BI40"/>
    </row>
    <row r="41" spans="1:61" s="1" customFormat="1">
      <c r="A41" s="6" t="s">
        <v>0</v>
      </c>
      <c r="B41" s="6">
        <v>12</v>
      </c>
      <c r="C41" s="6"/>
      <c r="D41" s="6"/>
      <c r="E41" s="6"/>
      <c r="F41" s="6"/>
      <c r="G41" s="6"/>
      <c r="H41" s="8"/>
      <c r="I41" s="8"/>
      <c r="J41" s="8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6"/>
      <c r="Y41" s="8"/>
      <c r="Z41" s="8"/>
      <c r="AA41" s="8"/>
      <c r="AB41" s="8"/>
      <c r="AC41" s="8"/>
      <c r="AD41" s="8"/>
      <c r="AE41" s="8"/>
      <c r="AF41" s="13"/>
      <c r="AG41" s="13"/>
      <c r="AH41" s="13"/>
      <c r="AI41" s="8"/>
      <c r="AJ41" s="8"/>
      <c r="AK41" s="8"/>
      <c r="AL41" s="8"/>
      <c r="AM41" s="6"/>
      <c r="AN41" s="13"/>
      <c r="AO41" s="13"/>
      <c r="AP41" s="13"/>
      <c r="AQ41" s="13"/>
      <c r="AR41" s="13"/>
      <c r="AS41" s="13"/>
      <c r="AT41" s="13"/>
      <c r="AU41" s="6"/>
      <c r="AV41" s="6"/>
      <c r="AW41" s="6"/>
      <c r="AX41" s="6"/>
      <c r="AY41" s="6"/>
      <c r="AZ41" s="6"/>
      <c r="BA41" s="6"/>
      <c r="BB41" s="6"/>
    </row>
    <row r="42" spans="1:61" s="1" customFormat="1">
      <c r="A42" s="6"/>
      <c r="B42" s="6"/>
      <c r="C42" s="6"/>
      <c r="D42" s="6"/>
      <c r="E42" s="6"/>
      <c r="F42" s="6"/>
      <c r="G42" s="6"/>
      <c r="H42" s="8"/>
      <c r="I42" s="8"/>
      <c r="J42" s="8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6"/>
      <c r="Y42" s="8"/>
      <c r="Z42" s="8"/>
      <c r="AA42" s="8"/>
      <c r="AB42" s="8"/>
      <c r="AC42" s="8"/>
      <c r="AD42" s="8"/>
      <c r="AE42" s="8"/>
      <c r="AF42" s="13"/>
      <c r="AG42" s="13"/>
      <c r="AH42" s="13"/>
      <c r="AI42" s="8"/>
      <c r="AJ42" s="8"/>
      <c r="AK42" s="8"/>
      <c r="AL42" s="8"/>
      <c r="AM42" s="6"/>
      <c r="AN42" s="13"/>
      <c r="AO42" s="13"/>
      <c r="AP42" s="13"/>
      <c r="AQ42" s="13"/>
      <c r="AR42" s="13"/>
      <c r="AS42" s="13"/>
      <c r="AT42" s="13"/>
      <c r="AU42" s="6"/>
      <c r="AV42" s="6"/>
      <c r="AW42" s="6"/>
      <c r="AX42" s="6"/>
      <c r="AY42" s="6"/>
      <c r="AZ42" s="6"/>
      <c r="BA42" s="6"/>
      <c r="BB42" s="6"/>
      <c r="BH42"/>
      <c r="BI42"/>
    </row>
  </sheetData>
  <mergeCells count="39">
    <mergeCell ref="Y7:Y8"/>
    <mergeCell ref="AU7:AU8"/>
    <mergeCell ref="AV7:AV8"/>
    <mergeCell ref="A26:F26"/>
    <mergeCell ref="A15:F15"/>
    <mergeCell ref="A1:G1"/>
    <mergeCell ref="A2:G2"/>
    <mergeCell ref="A3:G3"/>
    <mergeCell ref="A4:G4"/>
    <mergeCell ref="A9:F9"/>
    <mergeCell ref="A10:F10"/>
    <mergeCell ref="A11:F11"/>
    <mergeCell ref="A12:F12"/>
    <mergeCell ref="A13:F13"/>
    <mergeCell ref="A14:F14"/>
    <mergeCell ref="A35:F35"/>
    <mergeCell ref="A36:F36"/>
    <mergeCell ref="A28:F28"/>
    <mergeCell ref="A29:F29"/>
    <mergeCell ref="A30:F30"/>
    <mergeCell ref="A33:F33"/>
    <mergeCell ref="A31:F31"/>
    <mergeCell ref="A32:F32"/>
    <mergeCell ref="H7:H8"/>
    <mergeCell ref="A6:F8"/>
    <mergeCell ref="G7:G8"/>
    <mergeCell ref="X7:X8"/>
    <mergeCell ref="A34:F34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2015-10-05T08:19:00Z</cp:lastPrinted>
  <dcterms:created xsi:type="dcterms:W3CDTF">2013-04-24T10:34:01Z</dcterms:created>
  <dcterms:modified xsi:type="dcterms:W3CDTF">2015-10-05T08:19:43Z</dcterms:modified>
</cp:coreProperties>
</file>