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420" windowWidth="19440" windowHeight="12285"/>
  </bookViews>
  <sheets>
    <sheet name="лот1" sheetId="3" r:id="rId1"/>
    <sheet name="Лист1" sheetId="2" r:id="rId2"/>
  </sheets>
  <definedNames>
    <definedName name="Excel_BuiltIn_Print_Area_3" localSheetId="0">#REF!</definedName>
    <definedName name="Excel_BuiltIn_Print_Area_3">"$#ССЫЛ!.$A$1:$AJ$35"</definedName>
    <definedName name="_xlnm.Print_Titles" localSheetId="0">лот1!$A:$G</definedName>
    <definedName name="_xlnm.Print_Area" localSheetId="0">лот1!$A$1:$AK$36</definedName>
  </definedNames>
  <calcPr calcId="125725" calcMode="manual"/>
</workbook>
</file>

<file path=xl/calcChain.xml><?xml version="1.0" encoding="utf-8"?>
<calcChain xmlns="http://schemas.openxmlformats.org/spreadsheetml/2006/main">
  <c r="AJ27" i="3"/>
  <c r="AK27"/>
  <c r="AI27"/>
  <c r="AJ23"/>
  <c r="AK23"/>
  <c r="AI23"/>
  <c r="AJ21"/>
  <c r="AK21"/>
  <c r="AI21"/>
  <c r="AJ20"/>
  <c r="AK20"/>
  <c r="AI20"/>
  <c r="AJ19"/>
  <c r="AK19"/>
  <c r="AI19"/>
  <c r="AJ18"/>
  <c r="AK18"/>
  <c r="AI18"/>
  <c r="AJ17"/>
  <c r="AK17"/>
  <c r="AI17"/>
  <c r="AJ16"/>
  <c r="AK16"/>
  <c r="AI16"/>
  <c r="AJ15"/>
  <c r="AK15"/>
  <c r="AI15"/>
  <c r="AJ33"/>
  <c r="AK33"/>
  <c r="AI33"/>
  <c r="AJ32"/>
  <c r="AK32"/>
  <c r="AI32"/>
  <c r="AJ31"/>
  <c r="AK31"/>
  <c r="AI31"/>
  <c r="AJ30"/>
  <c r="AK30"/>
  <c r="AI30"/>
  <c r="AJ29"/>
  <c r="AK29"/>
  <c r="AI29"/>
  <c r="AK28" l="1"/>
  <c r="AJ28"/>
  <c r="AK26"/>
  <c r="AJ26"/>
  <c r="AI26"/>
  <c r="AK25"/>
  <c r="AJ25"/>
  <c r="AI25"/>
  <c r="AK24"/>
  <c r="AJ24"/>
  <c r="AI24"/>
  <c r="AK22"/>
  <c r="AJ22"/>
  <c r="AI22"/>
  <c r="AK14"/>
  <c r="AK34" s="1"/>
  <c r="AK36" s="1"/>
  <c r="AJ14"/>
  <c r="AJ34" s="1"/>
  <c r="AJ36" s="1"/>
  <c r="AF33"/>
  <c r="AE33"/>
  <c r="AF32"/>
  <c r="AE32"/>
  <c r="AF31"/>
  <c r="AE31"/>
  <c r="AF30"/>
  <c r="AE30"/>
  <c r="AF29"/>
  <c r="AE29"/>
  <c r="AE28" s="1"/>
  <c r="AF28"/>
  <c r="AF27"/>
  <c r="AE27"/>
  <c r="AF26"/>
  <c r="AE26"/>
  <c r="AF25"/>
  <c r="AE25"/>
  <c r="AF24"/>
  <c r="AE24"/>
  <c r="AF23"/>
  <c r="AE23"/>
  <c r="AE22" s="1"/>
  <c r="AF22"/>
  <c r="AF21"/>
  <c r="AE21"/>
  <c r="AF20"/>
  <c r="AE20"/>
  <c r="AF19"/>
  <c r="AE19"/>
  <c r="AF18"/>
  <c r="AE18"/>
  <c r="AF17"/>
  <c r="AE17"/>
  <c r="AF16"/>
  <c r="AE16"/>
  <c r="AF15"/>
  <c r="AE15"/>
  <c r="AE14" s="1"/>
  <c r="AE34" s="1"/>
  <c r="AE36" s="1"/>
  <c r="AF14"/>
  <c r="AF34" s="1"/>
  <c r="AF36" s="1"/>
  <c r="AD33"/>
  <c r="AD32"/>
  <c r="AD31"/>
  <c r="AD30"/>
  <c r="AD29"/>
  <c r="AD27"/>
  <c r="AD26"/>
  <c r="AD25"/>
  <c r="AD24"/>
  <c r="AD23"/>
  <c r="AD21"/>
  <c r="AD20"/>
  <c r="AD19"/>
  <c r="AD18"/>
  <c r="AD17"/>
  <c r="AD16"/>
  <c r="AD15"/>
  <c r="Z33"/>
  <c r="Y33"/>
  <c r="X33"/>
  <c r="Z32"/>
  <c r="Y32"/>
  <c r="X32"/>
  <c r="Z31"/>
  <c r="Y31"/>
  <c r="X31"/>
  <c r="Z30"/>
  <c r="Y30"/>
  <c r="X30"/>
  <c r="Z29"/>
  <c r="Z28" s="1"/>
  <c r="Y29"/>
  <c r="X29"/>
  <c r="X28" s="1"/>
  <c r="Z27"/>
  <c r="Y27"/>
  <c r="X27"/>
  <c r="Z26"/>
  <c r="Y26"/>
  <c r="X26"/>
  <c r="Z25"/>
  <c r="Y25"/>
  <c r="X25"/>
  <c r="Z24"/>
  <c r="Y24"/>
  <c r="X24"/>
  <c r="Z23"/>
  <c r="Z22" s="1"/>
  <c r="Y23"/>
  <c r="X23"/>
  <c r="X22" s="1"/>
  <c r="Z21"/>
  <c r="Y21"/>
  <c r="X21"/>
  <c r="Z20"/>
  <c r="Y20"/>
  <c r="X20"/>
  <c r="Z19"/>
  <c r="Y19"/>
  <c r="X19"/>
  <c r="Z18"/>
  <c r="Y18"/>
  <c r="X18"/>
  <c r="Z17"/>
  <c r="Y17"/>
  <c r="X17"/>
  <c r="Z16"/>
  <c r="Y16"/>
  <c r="X16"/>
  <c r="Z15"/>
  <c r="Y15"/>
  <c r="X15"/>
  <c r="Y28" l="1"/>
  <c r="AD22"/>
  <c r="Y22"/>
  <c r="X14"/>
  <c r="X34" s="1"/>
  <c r="X36" s="1"/>
  <c r="Z14"/>
  <c r="Z34" s="1"/>
  <c r="Z36" s="1"/>
  <c r="Y14"/>
  <c r="Y34" s="1"/>
  <c r="Y36" s="1"/>
  <c r="AD14"/>
  <c r="AD28"/>
  <c r="AC31"/>
  <c r="AC27"/>
  <c r="AC33"/>
  <c r="AC32"/>
  <c r="AC30"/>
  <c r="AC29"/>
  <c r="AC18"/>
  <c r="AC17"/>
  <c r="AC16"/>
  <c r="AC15"/>
  <c r="AC26"/>
  <c r="AC25"/>
  <c r="AC24"/>
  <c r="AC23"/>
  <c r="AC21"/>
  <c r="AC20"/>
  <c r="AC19"/>
  <c r="N33"/>
  <c r="O33"/>
  <c r="P33"/>
  <c r="Q33"/>
  <c r="R33"/>
  <c r="S33"/>
  <c r="T33"/>
  <c r="U33"/>
  <c r="V33"/>
  <c r="W33"/>
  <c r="M33"/>
  <c r="N32"/>
  <c r="O32"/>
  <c r="P32"/>
  <c r="Q32"/>
  <c r="R32"/>
  <c r="S32"/>
  <c r="T32"/>
  <c r="U32"/>
  <c r="V32"/>
  <c r="W32"/>
  <c r="M32"/>
  <c r="N31"/>
  <c r="O31"/>
  <c r="P31"/>
  <c r="Q31"/>
  <c r="R31"/>
  <c r="S31"/>
  <c r="T31"/>
  <c r="U31"/>
  <c r="V31"/>
  <c r="W31"/>
  <c r="M31"/>
  <c r="N30"/>
  <c r="O30"/>
  <c r="P30"/>
  <c r="Q30"/>
  <c r="R30"/>
  <c r="S30"/>
  <c r="T30"/>
  <c r="U30"/>
  <c r="V30"/>
  <c r="W30"/>
  <c r="M30"/>
  <c r="N29"/>
  <c r="O29"/>
  <c r="P29"/>
  <c r="Q29"/>
  <c r="R29"/>
  <c r="S29"/>
  <c r="T29"/>
  <c r="U29"/>
  <c r="V29"/>
  <c r="W29"/>
  <c r="M29"/>
  <c r="N27"/>
  <c r="O27"/>
  <c r="P27"/>
  <c r="Q27"/>
  <c r="R27"/>
  <c r="S27"/>
  <c r="T27"/>
  <c r="U27"/>
  <c r="V27"/>
  <c r="W27"/>
  <c r="M27"/>
  <c r="N26"/>
  <c r="O26"/>
  <c r="P26"/>
  <c r="Q26"/>
  <c r="R26"/>
  <c r="S26"/>
  <c r="T26"/>
  <c r="U26"/>
  <c r="V26"/>
  <c r="W26"/>
  <c r="M26"/>
  <c r="N25"/>
  <c r="O25"/>
  <c r="P25"/>
  <c r="Q25"/>
  <c r="R25"/>
  <c r="S25"/>
  <c r="T25"/>
  <c r="U25"/>
  <c r="V25"/>
  <c r="W25"/>
  <c r="M25"/>
  <c r="N24"/>
  <c r="O24"/>
  <c r="P24"/>
  <c r="Q24"/>
  <c r="R24"/>
  <c r="S24"/>
  <c r="T24"/>
  <c r="U24"/>
  <c r="V24"/>
  <c r="W24"/>
  <c r="M24"/>
  <c r="N23"/>
  <c r="O23"/>
  <c r="P23"/>
  <c r="Q23"/>
  <c r="R23"/>
  <c r="S23"/>
  <c r="T23"/>
  <c r="U23"/>
  <c r="V23"/>
  <c r="W23"/>
  <c r="M23"/>
  <c r="N21"/>
  <c r="O21"/>
  <c r="P21"/>
  <c r="Q21"/>
  <c r="R21"/>
  <c r="S21"/>
  <c r="T21"/>
  <c r="U21"/>
  <c r="V21"/>
  <c r="W21"/>
  <c r="M21"/>
  <c r="N20"/>
  <c r="O20"/>
  <c r="P20"/>
  <c r="Q20"/>
  <c r="R20"/>
  <c r="S20"/>
  <c r="T20"/>
  <c r="U20"/>
  <c r="V20"/>
  <c r="W20"/>
  <c r="M20"/>
  <c r="N19"/>
  <c r="O19"/>
  <c r="P19"/>
  <c r="Q19"/>
  <c r="R19"/>
  <c r="S19"/>
  <c r="T19"/>
  <c r="U19"/>
  <c r="V19"/>
  <c r="W19"/>
  <c r="M19"/>
  <c r="N18"/>
  <c r="O18"/>
  <c r="P18"/>
  <c r="Q18"/>
  <c r="R18"/>
  <c r="S18"/>
  <c r="T18"/>
  <c r="U18"/>
  <c r="V18"/>
  <c r="W18"/>
  <c r="M18"/>
  <c r="N17"/>
  <c r="O17"/>
  <c r="P17"/>
  <c r="Q17"/>
  <c r="R17"/>
  <c r="S17"/>
  <c r="T17"/>
  <c r="U17"/>
  <c r="V17"/>
  <c r="W17"/>
  <c r="M17"/>
  <c r="N16"/>
  <c r="O16"/>
  <c r="P16"/>
  <c r="Q16"/>
  <c r="R16"/>
  <c r="S16"/>
  <c r="T16"/>
  <c r="U16"/>
  <c r="V16"/>
  <c r="W16"/>
  <c r="M16"/>
  <c r="N15"/>
  <c r="O15"/>
  <c r="P15"/>
  <c r="Q15"/>
  <c r="R15"/>
  <c r="S15"/>
  <c r="T15"/>
  <c r="U15"/>
  <c r="V15"/>
  <c r="W15"/>
  <c r="M15"/>
  <c r="M14" s="1"/>
  <c r="J9"/>
  <c r="J33"/>
  <c r="J32"/>
  <c r="J31"/>
  <c r="J30"/>
  <c r="J29"/>
  <c r="J27"/>
  <c r="J26"/>
  <c r="J25"/>
  <c r="J24"/>
  <c r="J23"/>
  <c r="J21"/>
  <c r="J20"/>
  <c r="J19"/>
  <c r="J18"/>
  <c r="J17"/>
  <c r="J16"/>
  <c r="I33"/>
  <c r="I32"/>
  <c r="I31"/>
  <c r="I30"/>
  <c r="I29"/>
  <c r="I27"/>
  <c r="I26"/>
  <c r="I25"/>
  <c r="I24"/>
  <c r="I23"/>
  <c r="I21"/>
  <c r="I20"/>
  <c r="I19"/>
  <c r="I18"/>
  <c r="I17"/>
  <c r="I16"/>
  <c r="J15"/>
  <c r="I15"/>
  <c r="I9"/>
  <c r="V14" l="1"/>
  <c r="T14"/>
  <c r="W22"/>
  <c r="AD34"/>
  <c r="AD36" s="1"/>
  <c r="AC28"/>
  <c r="U22"/>
  <c r="AC14"/>
  <c r="S22"/>
  <c r="Q22"/>
  <c r="O22"/>
  <c r="M28"/>
  <c r="V28"/>
  <c r="AC22"/>
  <c r="AC34" s="1"/>
  <c r="AC36" s="1"/>
  <c r="T28"/>
  <c r="R28"/>
  <c r="P28"/>
  <c r="W14"/>
  <c r="U14"/>
  <c r="S14"/>
  <c r="Q14"/>
  <c r="O14"/>
  <c r="M22"/>
  <c r="M34" s="1"/>
  <c r="M36" s="1"/>
  <c r="V22"/>
  <c r="V34" s="1"/>
  <c r="V36" s="1"/>
  <c r="T22"/>
  <c r="T34" s="1"/>
  <c r="T36" s="1"/>
  <c r="R22"/>
  <c r="P22"/>
  <c r="N22"/>
  <c r="W28"/>
  <c r="U28"/>
  <c r="S28"/>
  <c r="Q28"/>
  <c r="O28"/>
  <c r="J14"/>
  <c r="R14"/>
  <c r="R34" s="1"/>
  <c r="R36" s="1"/>
  <c r="P14"/>
  <c r="P34" s="1"/>
  <c r="P36" s="1"/>
  <c r="N14"/>
  <c r="N28"/>
  <c r="J28"/>
  <c r="J22"/>
  <c r="H31"/>
  <c r="H14"/>
  <c r="H29"/>
  <c r="H26"/>
  <c r="H27"/>
  <c r="N34" l="1"/>
  <c r="N36" s="1"/>
  <c r="J34"/>
  <c r="J36" s="1"/>
  <c r="Q34"/>
  <c r="Q36" s="1"/>
  <c r="U34"/>
  <c r="U36" s="1"/>
  <c r="O34"/>
  <c r="O36" s="1"/>
  <c r="S34"/>
  <c r="S36" s="1"/>
  <c r="W34"/>
  <c r="W36" s="1"/>
  <c r="I22"/>
  <c r="H28"/>
  <c r="H22"/>
  <c r="H9"/>
  <c r="H36" l="1"/>
  <c r="I28"/>
  <c r="I14" l="1"/>
  <c r="I34" s="1"/>
  <c r="I36" l="1"/>
  <c r="AI14"/>
  <c r="AI28"/>
  <c r="AI34" l="1"/>
  <c r="AI36" s="1"/>
  <c r="AL34"/>
  <c r="AM34" s="1"/>
</calcChain>
</file>

<file path=xl/sharedStrings.xml><?xml version="1.0" encoding="utf-8"?>
<sst xmlns="http://schemas.openxmlformats.org/spreadsheetml/2006/main" count="202" uniqueCount="109">
  <si>
    <t>месяцы</t>
  </si>
  <si>
    <t>Площадь жилых помещений</t>
  </si>
  <si>
    <t>Общая годовая стоимость работ по многоквартирным домам</t>
  </si>
  <si>
    <t>раз(а) в год</t>
  </si>
  <si>
    <t>4 раз(а) в год</t>
  </si>
  <si>
    <t>постоянно
на системах водоснабжения, теплоснабжения, газоснабжения, канализации, энергоснабжения</t>
  </si>
  <si>
    <t>18. Аварийное обслуживание</t>
  </si>
  <si>
    <t>IV. Проведение технических осмотров и мелкий ремонт</t>
  </si>
  <si>
    <t>1 раз(а) в год</t>
  </si>
  <si>
    <t>по мере необходимости в течение (указать период устранения неисправности)</t>
  </si>
  <si>
    <t>III. Подготовка многоквартирного дома к сезонной эксплуатации</t>
  </si>
  <si>
    <t>раз(а) в неделю</t>
  </si>
  <si>
    <t>по мере необходимости. Начало работ не позднее _____ часов после начала снегопада</t>
  </si>
  <si>
    <t>5 раз(а) в неделю</t>
  </si>
  <si>
    <t>II. Уборка земельного участка, входящего в состав общего имущества многоквартирного дома</t>
  </si>
  <si>
    <t>раз(а) в месяц</t>
  </si>
  <si>
    <t>4. Мытье и протирка закрывающих устройств мусоропровода</t>
  </si>
  <si>
    <t>3. Очистка и влажная уборка мусорных камер</t>
  </si>
  <si>
    <t>I. Содержание помещений общего пользования</t>
  </si>
  <si>
    <t>Периодичность</t>
  </si>
  <si>
    <t>Стоимость работ (размер платы) в руб. по многоквартирным домам</t>
  </si>
  <si>
    <t>Перечень обязательных работ, услуг</t>
  </si>
  <si>
    <t>объектом конкурса</t>
  </si>
  <si>
    <t>собственников помещений в многоквартирном доме, являющегося</t>
  </si>
  <si>
    <t>обязательных работ и услуг по содержанию и ремонту общего имущества</t>
  </si>
  <si>
    <t>ПЕРЕЧЕНЬ</t>
  </si>
  <si>
    <t>1. Сухая и влажная  уборка полов во всех помещениях общего пользования</t>
  </si>
  <si>
    <t xml:space="preserve">2. Сухая и влажная уборка полов кабины лифта </t>
  </si>
  <si>
    <t xml:space="preserve">13. Выявление деформации и повреждений водоотводящих устройств и оборудования, 
</t>
  </si>
  <si>
    <t xml:space="preserve">14.Контроль состояния и восстановление исправности элементов внутренней канализации, канализационных вытяжек, внутреннего водостока
</t>
  </si>
  <si>
    <t xml:space="preserve">15. Проверка целостности оконных и дверных заполнений в помещениях общего пользования, работоспособности фурнитуры элементов оконных и дверных заполнений, при выявлении нарушений в отопительный период - незамедлительный ремонт
</t>
  </si>
  <si>
    <t>6. Уборка мусора на контейнерных площадках (помойных ям)</t>
  </si>
  <si>
    <t>7. Очистка придомовой территории от снега при отсутствии снегопадов</t>
  </si>
  <si>
    <t>8. Сдвигание свежепыпавшего снега и подметание снега при снегопаде, очиска придомовой территории от наледи и льда c подсыпкой противоскользящего материала</t>
  </si>
  <si>
    <t xml:space="preserve">9. Проверка и при необходимости очистка кровли от скопления снега и наледи, сосулек
</t>
  </si>
  <si>
    <t>10. Вывоз твердых бытовых отходов (ТБО), жидких бытовых отходов</t>
  </si>
  <si>
    <t>11. Очистка выгребных ям (для деревянных неблагоустроенных зданий)</t>
  </si>
  <si>
    <t>19. Ремонт кровли, крылец, козырьков, деревянных тротуаров</t>
  </si>
  <si>
    <t xml:space="preserve">12. Сезонный осмотр конструкций здания( фасадов, стен, фундаментов, кровли)
</t>
  </si>
  <si>
    <t>17. Техническое обслуживание и сезонное управление оборудованием систем вентиляции и дымоудаления, устранение неисправностей печей, каминов и очагов, влекущих к нарушению противопожарных требований, техническое обслуживание и ремонт силовых и осветительных установок, внутридомовых электросетей, контроль состояния и восстановление исправности элементов внутренней канализации, канализационных вытяжек, внутреннего водостока, проверка автоматических регуляторов и устройств,  проверка работоспособности и обслуживание устройства водоподготовки для системы горячего водоснабжения, проверка исправности и работоспособности оборудования тепловых пунктов и водоподкачек в многоквартирных домах,  консервация и раконсервация системы отопления, промывка централизованных систем теплоснабжения для удаления накипно-коррозионных отложений,  удаление воздуха из системы отопления.</t>
  </si>
  <si>
    <t xml:space="preserve">5. Уборка мусора с придомовой территории </t>
  </si>
  <si>
    <t>1 раз(а) в 2 недели</t>
  </si>
  <si>
    <t>2 раз(а) в неделю</t>
  </si>
  <si>
    <t>2 раз(а) в год</t>
  </si>
  <si>
    <t>проверка исправности вытяжек 1 раз(а) в год. Проверка наличия тяги в дымовентиляционных каналах  2 раз(а) в год. Проверка заземления оболочки электрокабеля, замеры сопротивления 4 раз(а) в год. Регулировка систем отопления 2 раза в год. Консервация и расконсервация системы отопления 1 раз в год. Прочиска канализационных лежаков 2 раза в год.</t>
  </si>
  <si>
    <t>по мере необходимости в течение года</t>
  </si>
  <si>
    <t>деревянный благоустроенный дом с центр отоплением</t>
  </si>
  <si>
    <t>деревянный не благоустроенный без канализации и центр отопления</t>
  </si>
  <si>
    <t>16. Проверка исправности, работоспособности, регулировка и техническое обслуживание насосов, запорной арматуры,  промывка систем водоснабжения для удаления накипно-коррозионных отложений, промывка централизованных систем теплоснабжения для удаления накипно-коррозионных отложений,  обслуживание и ремонт бойлерных, удаление воздуха из системы отопления, смена отдельных участков трубопроводов по необходимости.
Заделка щелей в печах, оштукатуривание, прочистка дымохода.</t>
  </si>
  <si>
    <t>3 раз(а) в неделю контейнера (6 раз в год - помойницы)</t>
  </si>
  <si>
    <t xml:space="preserve">Стоимость на 1 кв. м. общей площади (руб./мес.)         (размер платы в месяц на 1 кв. м.)  </t>
  </si>
  <si>
    <t>20. Дератизация</t>
  </si>
  <si>
    <t>21. Дезинсекция</t>
  </si>
  <si>
    <t>деревянный не благоустроенный с центр отоплением</t>
  </si>
  <si>
    <t>Приложение №2</t>
  </si>
  <si>
    <t>к извещению и документации</t>
  </si>
  <si>
    <t xml:space="preserve"> о проведении открытого конкурса</t>
  </si>
  <si>
    <t>Жилой район      Исакогорский и Цигломенский     территориальный округ</t>
  </si>
  <si>
    <t>34</t>
  </si>
  <si>
    <t>40</t>
  </si>
  <si>
    <t>44</t>
  </si>
  <si>
    <t>54</t>
  </si>
  <si>
    <t>1</t>
  </si>
  <si>
    <t>2</t>
  </si>
  <si>
    <t>8</t>
  </si>
  <si>
    <t>32</t>
  </si>
  <si>
    <t>513,4</t>
  </si>
  <si>
    <t>Лот № 5</t>
  </si>
  <si>
    <t>ЗЕНЬКОВИЧА ул.</t>
  </si>
  <si>
    <t>ЛЕСОЗАВОДСКАЯ ул.</t>
  </si>
  <si>
    <t>24</t>
  </si>
  <si>
    <t>ПАРКОВАЯ ул.</t>
  </si>
  <si>
    <t>15</t>
  </si>
  <si>
    <t>16, К 1</t>
  </si>
  <si>
    <t>30</t>
  </si>
  <si>
    <t>46</t>
  </si>
  <si>
    <t>56</t>
  </si>
  <si>
    <t>9</t>
  </si>
  <si>
    <t>10</t>
  </si>
  <si>
    <t>11</t>
  </si>
  <si>
    <t>17</t>
  </si>
  <si>
    <t>50</t>
  </si>
  <si>
    <t>52</t>
  </si>
  <si>
    <t>деревянный не благоустроенный с водопроводом и канализацией</t>
  </si>
  <si>
    <t>12</t>
  </si>
  <si>
    <t>14</t>
  </si>
  <si>
    <t>1, К 1</t>
  </si>
  <si>
    <t>695,3</t>
  </si>
  <si>
    <t>666,9</t>
  </si>
  <si>
    <t>405,3</t>
  </si>
  <si>
    <t>509</t>
  </si>
  <si>
    <t>711,4</t>
  </si>
  <si>
    <t>549</t>
  </si>
  <si>
    <t>568,2</t>
  </si>
  <si>
    <t>572,8</t>
  </si>
  <si>
    <t>685,6</t>
  </si>
  <si>
    <t>401,4</t>
  </si>
  <si>
    <t>712,8</t>
  </si>
  <si>
    <t>535,5</t>
  </si>
  <si>
    <t>502,7</t>
  </si>
  <si>
    <t>513,2</t>
  </si>
  <si>
    <t>516,1</t>
  </si>
  <si>
    <t>480,4</t>
  </si>
  <si>
    <t>396,2</t>
  </si>
  <si>
    <t>731,9</t>
  </si>
  <si>
    <t>714</t>
  </si>
  <si>
    <t>578,9</t>
  </si>
  <si>
    <t>591,9</t>
  </si>
  <si>
    <t>527,9</t>
  </si>
</sst>
</file>

<file path=xl/styles.xml><?xml version="1.0" encoding="utf-8"?>
<styleSheet xmlns="http://schemas.openxmlformats.org/spreadsheetml/2006/main">
  <fonts count="13">
    <font>
      <sz val="10"/>
      <name val="Arial Cyr"/>
      <family val="2"/>
      <charset val="204"/>
    </font>
    <font>
      <sz val="10"/>
      <name val="Arial Cyr"/>
      <family val="2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9"/>
      <name val="Times New Roman"/>
      <family val="1"/>
    </font>
    <font>
      <b/>
      <sz val="11"/>
      <name val="Times New Roman"/>
      <family val="1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9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8"/>
      <color rgb="FFC00000"/>
      <name val="Times New Roman"/>
      <family val="1"/>
    </font>
    <font>
      <sz val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hair">
        <color indexed="8"/>
      </right>
      <top/>
      <bottom/>
      <diagonal/>
    </border>
    <border>
      <left style="hair">
        <color indexed="8"/>
      </left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7">
    <xf numFmtId="0" fontId="0" fillId="0" borderId="0" xfId="0"/>
    <xf numFmtId="0" fontId="2" fillId="0" borderId="0" xfId="0" applyFont="1" applyAlignment="1"/>
    <xf numFmtId="0" fontId="2" fillId="0" borderId="0" xfId="0" applyFont="1" applyAlignment="1">
      <alignment horizontal="center" vertical="center"/>
    </xf>
    <xf numFmtId="4" fontId="7" fillId="2" borderId="0" xfId="0" applyNumberFormat="1" applyFont="1" applyFill="1" applyAlignment="1">
      <alignment horizontal="right"/>
    </xf>
    <xf numFmtId="4" fontId="6" fillId="2" borderId="0" xfId="0" applyNumberFormat="1" applyFont="1" applyFill="1" applyAlignment="1">
      <alignment horizontal="right"/>
    </xf>
    <xf numFmtId="0" fontId="3" fillId="2" borderId="0" xfId="0" applyFont="1" applyFill="1" applyAlignment="1"/>
    <xf numFmtId="0" fontId="2" fillId="2" borderId="0" xfId="0" applyFont="1" applyFill="1" applyAlignment="1"/>
    <xf numFmtId="4" fontId="2" fillId="2" borderId="0" xfId="0" applyNumberFormat="1" applyFont="1" applyFill="1" applyAlignment="1">
      <alignment horizontal="right"/>
    </xf>
    <xf numFmtId="0" fontId="2" fillId="2" borderId="0" xfId="0" applyFont="1" applyFill="1" applyBorder="1" applyAlignment="1"/>
    <xf numFmtId="4" fontId="2" fillId="2" borderId="0" xfId="0" applyNumberFormat="1" applyFont="1" applyFill="1" applyAlignment="1">
      <alignment horizontal="right"/>
    </xf>
    <xf numFmtId="0" fontId="2" fillId="0" borderId="0" xfId="0" applyFont="1" applyFill="1" applyAlignment="1">
      <alignment horizontal="center"/>
    </xf>
    <xf numFmtId="4" fontId="2" fillId="2" borderId="0" xfId="0" applyNumberFormat="1" applyFont="1" applyFill="1" applyAlignment="1">
      <alignment horizontal="left"/>
    </xf>
    <xf numFmtId="4" fontId="8" fillId="2" borderId="7" xfId="0" applyNumberFormat="1" applyFont="1" applyFill="1" applyBorder="1" applyAlignment="1">
      <alignment vertical="center"/>
    </xf>
    <xf numFmtId="0" fontId="4" fillId="2" borderId="8" xfId="0" applyFont="1" applyFill="1" applyBorder="1" applyAlignment="1"/>
    <xf numFmtId="0" fontId="4" fillId="2" borderId="9" xfId="0" applyFont="1" applyFill="1" applyBorder="1" applyAlignment="1"/>
    <xf numFmtId="4" fontId="8" fillId="2" borderId="8" xfId="0" applyNumberFormat="1" applyFont="1" applyFill="1" applyBorder="1" applyAlignment="1">
      <alignment horizontal="right" vertical="center"/>
    </xf>
    <xf numFmtId="4" fontId="8" fillId="2" borderId="8" xfId="0" applyNumberFormat="1" applyFont="1" applyFill="1" applyBorder="1" applyAlignment="1">
      <alignment vertical="center"/>
    </xf>
    <xf numFmtId="0" fontId="2" fillId="0" borderId="0" xfId="0" applyFont="1" applyBorder="1" applyAlignment="1"/>
    <xf numFmtId="4" fontId="2" fillId="0" borderId="0" xfId="0" applyNumberFormat="1" applyFont="1" applyAlignment="1"/>
    <xf numFmtId="49" fontId="12" fillId="2" borderId="11" xfId="0" applyNumberFormat="1" applyFont="1" applyFill="1" applyBorder="1" applyAlignment="1">
      <alignment horizontal="left" wrapText="1"/>
    </xf>
    <xf numFmtId="49" fontId="12" fillId="2" borderId="12" xfId="0" applyNumberFormat="1" applyFont="1" applyFill="1" applyBorder="1" applyAlignment="1">
      <alignment horizontal="left" wrapText="1"/>
    </xf>
    <xf numFmtId="49" fontId="12" fillId="2" borderId="13" xfId="0" applyNumberFormat="1" applyFont="1" applyFill="1" applyBorder="1" applyAlignment="1">
      <alignment horizontal="left" wrapText="1"/>
    </xf>
    <xf numFmtId="4" fontId="11" fillId="2" borderId="6" xfId="0" applyNumberFormat="1" applyFont="1" applyFill="1" applyBorder="1" applyAlignment="1">
      <alignment horizontal="center" vertical="center" wrapText="1"/>
    </xf>
    <xf numFmtId="4" fontId="9" fillId="2" borderId="5" xfId="0" applyNumberFormat="1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/>
    </xf>
    <xf numFmtId="4" fontId="11" fillId="2" borderId="1" xfId="0" applyNumberFormat="1" applyFont="1" applyFill="1" applyBorder="1" applyAlignment="1">
      <alignment horizontal="center" vertical="center" wrapText="1"/>
    </xf>
    <xf numFmtId="4" fontId="11" fillId="2" borderId="10" xfId="0" applyNumberFormat="1" applyFont="1" applyFill="1" applyBorder="1" applyAlignment="1">
      <alignment horizontal="center" vertical="center" wrapText="1"/>
    </xf>
    <xf numFmtId="4" fontId="8" fillId="2" borderId="2" xfId="0" applyNumberFormat="1" applyFont="1" applyFill="1" applyBorder="1" applyAlignment="1">
      <alignment horizontal="center" vertical="center"/>
    </xf>
    <xf numFmtId="4" fontId="8" fillId="2" borderId="3" xfId="0" applyNumberFormat="1" applyFont="1" applyFill="1" applyBorder="1" applyAlignment="1">
      <alignment horizontal="center" vertical="center"/>
    </xf>
    <xf numFmtId="4" fontId="8" fillId="2" borderId="4" xfId="0" applyNumberFormat="1" applyFont="1" applyFill="1" applyBorder="1" applyAlignment="1">
      <alignment horizontal="center" vertical="center"/>
    </xf>
    <xf numFmtId="4" fontId="8" fillId="2" borderId="0" xfId="0" applyNumberFormat="1" applyFont="1" applyFill="1" applyBorder="1" applyAlignment="1">
      <alignment horizontal="center" vertical="center"/>
    </xf>
    <xf numFmtId="4" fontId="4" fillId="2" borderId="10" xfId="0" applyNumberFormat="1" applyFont="1" applyFill="1" applyBorder="1" applyAlignment="1">
      <alignment horizontal="center" vertical="center" wrapText="1"/>
    </xf>
    <xf numFmtId="4" fontId="9" fillId="2" borderId="1" xfId="0" applyNumberFormat="1" applyFont="1" applyFill="1" applyBorder="1" applyAlignment="1">
      <alignment horizontal="center" vertical="center" wrapText="1"/>
    </xf>
    <xf numFmtId="49" fontId="12" fillId="2" borderId="10" xfId="0" applyNumberFormat="1" applyFont="1" applyFill="1" applyBorder="1" applyAlignment="1">
      <alignment horizontal="left" wrapText="1"/>
    </xf>
    <xf numFmtId="49" fontId="12" fillId="2" borderId="15" xfId="0" applyNumberFormat="1" applyFont="1" applyFill="1" applyBorder="1" applyAlignment="1">
      <alignment horizontal="left" wrapText="1"/>
    </xf>
    <xf numFmtId="49" fontId="12" fillId="2" borderId="1" xfId="0" applyNumberFormat="1" applyFont="1" applyFill="1" applyBorder="1" applyAlignment="1">
      <alignment horizontal="left" wrapText="1"/>
    </xf>
    <xf numFmtId="4" fontId="8" fillId="2" borderId="14" xfId="0" applyNumberFormat="1" applyFont="1" applyFill="1" applyBorder="1" applyAlignment="1">
      <alignment horizontal="center" vertical="top"/>
    </xf>
    <xf numFmtId="4" fontId="4" fillId="2" borderId="14" xfId="0" applyNumberFormat="1" applyFont="1" applyFill="1" applyBorder="1" applyAlignment="1">
      <alignment horizontal="center" vertical="top"/>
    </xf>
    <xf numFmtId="4" fontId="10" fillId="2" borderId="14" xfId="0" applyNumberFormat="1" applyFont="1" applyFill="1" applyBorder="1" applyAlignment="1">
      <alignment horizontal="center"/>
    </xf>
    <xf numFmtId="4" fontId="9" fillId="2" borderId="14" xfId="0" applyNumberFormat="1" applyFont="1" applyFill="1" applyBorder="1" applyAlignment="1">
      <alignment horizontal="center" vertical="top"/>
    </xf>
    <xf numFmtId="4" fontId="4" fillId="2" borderId="14" xfId="0" applyNumberFormat="1" applyFont="1" applyFill="1" applyBorder="1" applyAlignment="1">
      <alignment horizontal="left" vertical="top"/>
    </xf>
    <xf numFmtId="4" fontId="4" fillId="2" borderId="14" xfId="0" applyNumberFormat="1" applyFont="1" applyFill="1" applyBorder="1" applyAlignment="1">
      <alignment horizontal="center"/>
    </xf>
    <xf numFmtId="4" fontId="9" fillId="2" borderId="14" xfId="0" applyNumberFormat="1" applyFont="1" applyFill="1" applyBorder="1" applyAlignment="1">
      <alignment horizontal="center"/>
    </xf>
    <xf numFmtId="4" fontId="8" fillId="2" borderId="14" xfId="0" applyNumberFormat="1" applyFont="1" applyFill="1" applyBorder="1" applyAlignment="1">
      <alignment horizontal="center" vertical="top" wrapText="1"/>
    </xf>
    <xf numFmtId="4" fontId="4" fillId="2" borderId="14" xfId="0" applyNumberFormat="1" applyFont="1" applyFill="1" applyBorder="1" applyAlignment="1">
      <alignment horizontal="left" vertical="top" wrapText="1"/>
    </xf>
    <xf numFmtId="4" fontId="4" fillId="2" borderId="14" xfId="0" applyNumberFormat="1" applyFont="1" applyFill="1" applyBorder="1" applyAlignment="1">
      <alignment horizontal="center" vertical="top" wrapText="1"/>
    </xf>
    <xf numFmtId="4" fontId="9" fillId="2" borderId="14" xfId="0" applyNumberFormat="1" applyFont="1" applyFill="1" applyBorder="1" applyAlignment="1">
      <alignment horizontal="center" vertical="top" wrapText="1"/>
    </xf>
    <xf numFmtId="4" fontId="4" fillId="2" borderId="14" xfId="0" applyNumberFormat="1" applyFont="1" applyFill="1" applyBorder="1" applyAlignment="1">
      <alignment horizontal="center" wrapText="1"/>
    </xf>
    <xf numFmtId="4" fontId="9" fillId="2" borderId="14" xfId="0" applyNumberFormat="1" applyFont="1" applyFill="1" applyBorder="1" applyAlignment="1">
      <alignment horizontal="center" wrapText="1"/>
    </xf>
    <xf numFmtId="4" fontId="10" fillId="2" borderId="14" xfId="0" applyNumberFormat="1" applyFont="1" applyFill="1" applyBorder="1" applyAlignment="1">
      <alignment horizontal="center" vertical="top"/>
    </xf>
    <xf numFmtId="4" fontId="8" fillId="2" borderId="14" xfId="0" applyNumberFormat="1" applyFont="1" applyFill="1" applyBorder="1" applyAlignment="1">
      <alignment horizontal="left" vertical="top"/>
    </xf>
    <xf numFmtId="4" fontId="8" fillId="2" borderId="14" xfId="0" applyNumberFormat="1" applyFont="1" applyFill="1" applyBorder="1" applyAlignment="1">
      <alignment horizontal="left" vertical="top"/>
    </xf>
    <xf numFmtId="4" fontId="10" fillId="2" borderId="14" xfId="0" applyNumberFormat="1" applyFont="1" applyFill="1" applyBorder="1" applyAlignment="1">
      <alignment horizontal="left" vertical="top"/>
    </xf>
    <xf numFmtId="4" fontId="10" fillId="2" borderId="14" xfId="0" applyNumberFormat="1" applyFont="1" applyFill="1" applyBorder="1" applyAlignment="1">
      <alignment horizontal="center" vertical="center"/>
    </xf>
    <xf numFmtId="49" fontId="12" fillId="2" borderId="14" xfId="0" applyNumberFormat="1" applyFont="1" applyFill="1" applyBorder="1" applyAlignment="1">
      <alignment horizontal="left" wrapText="1"/>
    </xf>
    <xf numFmtId="4" fontId="8" fillId="2" borderId="14" xfId="0" applyNumberFormat="1" applyFont="1" applyFill="1" applyBorder="1" applyAlignment="1">
      <alignment horizontal="left" vertical="center" wrapText="1"/>
    </xf>
    <xf numFmtId="4" fontId="8" fillId="2" borderId="14" xfId="0" applyNumberFormat="1" applyFont="1" applyFill="1" applyBorder="1" applyAlignment="1">
      <alignment horizontal="center" vertical="center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S42"/>
  <sheetViews>
    <sheetView tabSelected="1" view="pageBreakPreview" zoomScaleNormal="100" zoomScaleSheetLayoutView="100" workbookViewId="0">
      <selection activeCell="A3" sqref="A3:G3"/>
    </sheetView>
  </sheetViews>
  <sheetFormatPr defaultRowHeight="12.75"/>
  <cols>
    <col min="1" max="5" width="9.140625" style="6"/>
    <col min="6" max="6" width="19.140625" style="6" customWidth="1"/>
    <col min="7" max="7" width="20.5703125" style="6" customWidth="1"/>
    <col min="8" max="8" width="10.7109375" style="7" customWidth="1"/>
    <col min="9" max="9" width="9" style="7" customWidth="1"/>
    <col min="10" max="10" width="9.7109375" style="7" customWidth="1"/>
    <col min="11" max="11" width="20.28515625" style="6" customWidth="1"/>
    <col min="12" max="12" width="13.28515625" style="7" customWidth="1"/>
    <col min="13" max="15" width="8.7109375" style="7" bestFit="1" customWidth="1"/>
    <col min="16" max="16" width="9.140625" style="7" customWidth="1"/>
    <col min="17" max="17" width="8.7109375" style="7" bestFit="1" customWidth="1"/>
    <col min="18" max="18" width="9.140625" style="7" customWidth="1"/>
    <col min="19" max="19" width="8.7109375" style="7" bestFit="1" customWidth="1"/>
    <col min="20" max="20" width="8.42578125" style="7" customWidth="1"/>
    <col min="21" max="21" width="8.7109375" style="7" customWidth="1"/>
    <col min="22" max="22" width="8.7109375" style="7" bestFit="1" customWidth="1"/>
    <col min="23" max="23" width="8.5703125" style="6" customWidth="1"/>
    <col min="24" max="24" width="8.7109375" style="9" customWidth="1"/>
    <col min="25" max="25" width="8.7109375" style="9" bestFit="1" customWidth="1"/>
    <col min="26" max="26" width="8.7109375" style="6" customWidth="1"/>
    <col min="27" max="27" width="20.28515625" style="6" customWidth="1"/>
    <col min="28" max="28" width="10.42578125" style="6" bestFit="1" customWidth="1"/>
    <col min="29" max="32" width="9.140625" style="6" customWidth="1"/>
    <col min="33" max="33" width="19.42578125" style="6" customWidth="1"/>
    <col min="34" max="34" width="14" style="6" customWidth="1"/>
    <col min="35" max="37" width="9.140625" style="6" customWidth="1"/>
    <col min="38" max="38" width="15.28515625" style="1" customWidth="1"/>
    <col min="39" max="43" width="9.140625" style="1"/>
  </cols>
  <sheetData>
    <row r="1" spans="1:37" s="1" customFormat="1" ht="16.5" customHeight="1">
      <c r="A1" s="24" t="s">
        <v>25</v>
      </c>
      <c r="B1" s="24"/>
      <c r="C1" s="24"/>
      <c r="D1" s="24"/>
      <c r="E1" s="24"/>
      <c r="F1" s="24"/>
      <c r="G1" s="24"/>
      <c r="H1" s="7"/>
      <c r="I1" s="7"/>
      <c r="J1" s="7"/>
      <c r="K1" s="9"/>
      <c r="L1" s="9" t="s">
        <v>54</v>
      </c>
      <c r="M1" s="3"/>
      <c r="N1" s="3"/>
      <c r="O1" s="3"/>
      <c r="P1" s="3"/>
      <c r="Q1" s="3"/>
      <c r="R1" s="3"/>
      <c r="S1" s="3"/>
      <c r="T1" s="3"/>
      <c r="U1" s="3"/>
      <c r="V1" s="3"/>
      <c r="W1" s="6"/>
      <c r="X1" s="3"/>
      <c r="Y1" s="3"/>
      <c r="Z1" s="6"/>
      <c r="AA1" s="9"/>
      <c r="AB1" s="6"/>
      <c r="AC1" s="6"/>
      <c r="AD1" s="6"/>
      <c r="AE1" s="6"/>
      <c r="AF1" s="6"/>
      <c r="AG1" s="9"/>
      <c r="AH1" s="6"/>
      <c r="AI1" s="6"/>
      <c r="AJ1" s="6"/>
      <c r="AK1" s="6"/>
    </row>
    <row r="2" spans="1:37" s="1" customFormat="1" ht="16.5" customHeight="1">
      <c r="A2" s="24" t="s">
        <v>24</v>
      </c>
      <c r="B2" s="24"/>
      <c r="C2" s="24"/>
      <c r="D2" s="24"/>
      <c r="E2" s="24"/>
      <c r="F2" s="24"/>
      <c r="G2" s="24"/>
      <c r="H2" s="7"/>
      <c r="I2" s="11"/>
      <c r="J2" s="7"/>
      <c r="K2" s="9"/>
      <c r="L2" s="9" t="s">
        <v>55</v>
      </c>
      <c r="M2" s="4"/>
      <c r="N2" s="4"/>
      <c r="O2" s="4"/>
      <c r="P2" s="4"/>
      <c r="Q2" s="4"/>
      <c r="R2" s="4"/>
      <c r="S2" s="4"/>
      <c r="T2" s="4"/>
      <c r="U2" s="4"/>
      <c r="V2" s="4"/>
      <c r="W2" s="6"/>
      <c r="X2" s="4"/>
      <c r="Y2" s="4"/>
      <c r="Z2" s="6"/>
      <c r="AA2" s="9"/>
      <c r="AB2" s="6"/>
      <c r="AC2" s="6"/>
      <c r="AD2" s="6"/>
      <c r="AE2" s="6"/>
      <c r="AF2" s="6"/>
      <c r="AG2" s="9"/>
      <c r="AH2" s="6"/>
      <c r="AI2" s="6"/>
      <c r="AJ2" s="6"/>
      <c r="AK2" s="6"/>
    </row>
    <row r="3" spans="1:37" s="1" customFormat="1" ht="16.5" customHeight="1">
      <c r="A3" s="24" t="s">
        <v>23</v>
      </c>
      <c r="B3" s="24"/>
      <c r="C3" s="24"/>
      <c r="D3" s="24"/>
      <c r="E3" s="24"/>
      <c r="F3" s="24"/>
      <c r="G3" s="24"/>
      <c r="H3" s="7"/>
      <c r="I3" s="7"/>
      <c r="J3" s="7"/>
      <c r="K3" s="9"/>
      <c r="L3" s="9" t="s">
        <v>56</v>
      </c>
      <c r="M3" s="4"/>
      <c r="N3" s="4"/>
      <c r="O3" s="4"/>
      <c r="P3" s="4"/>
      <c r="Q3" s="4"/>
      <c r="R3" s="4"/>
      <c r="S3" s="4"/>
      <c r="T3" s="4"/>
      <c r="U3" s="4"/>
      <c r="V3" s="4"/>
      <c r="W3" s="6"/>
      <c r="X3" s="4"/>
      <c r="Y3" s="4"/>
      <c r="Z3" s="6"/>
      <c r="AA3" s="9"/>
      <c r="AB3" s="6"/>
      <c r="AC3" s="6"/>
      <c r="AD3" s="6"/>
      <c r="AE3" s="6"/>
      <c r="AF3" s="6"/>
      <c r="AG3" s="9"/>
      <c r="AH3" s="6"/>
      <c r="AI3" s="6"/>
      <c r="AJ3" s="6"/>
      <c r="AK3" s="6"/>
    </row>
    <row r="4" spans="1:37" s="1" customFormat="1" ht="16.5" customHeight="1">
      <c r="A4" s="24" t="s">
        <v>22</v>
      </c>
      <c r="B4" s="24"/>
      <c r="C4" s="24"/>
      <c r="D4" s="24"/>
      <c r="E4" s="24"/>
      <c r="F4" s="24"/>
      <c r="G4" s="24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6"/>
      <c r="X4" s="9"/>
      <c r="Y4" s="9"/>
      <c r="Z4" s="6"/>
      <c r="AA4" s="9"/>
      <c r="AB4" s="6"/>
      <c r="AC4" s="6"/>
      <c r="AD4" s="6"/>
      <c r="AE4" s="6"/>
      <c r="AF4" s="6"/>
      <c r="AG4" s="9"/>
      <c r="AH4" s="6"/>
      <c r="AI4" s="6"/>
      <c r="AJ4" s="6"/>
      <c r="AK4" s="6"/>
    </row>
    <row r="5" spans="1:37" s="1" customFormat="1">
      <c r="A5" s="5" t="s">
        <v>67</v>
      </c>
      <c r="B5" s="5" t="s">
        <v>57</v>
      </c>
      <c r="C5" s="6"/>
      <c r="D5" s="6"/>
      <c r="E5" s="6"/>
      <c r="F5" s="6"/>
      <c r="G5" s="6"/>
      <c r="H5" s="7"/>
      <c r="I5" s="7"/>
      <c r="J5" s="7"/>
      <c r="K5" s="6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6"/>
      <c r="X5" s="9"/>
      <c r="Y5" s="9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</row>
    <row r="6" spans="1:37" s="1" customFormat="1" ht="18" customHeight="1">
      <c r="A6" s="27" t="s">
        <v>21</v>
      </c>
      <c r="B6" s="28"/>
      <c r="C6" s="28"/>
      <c r="D6" s="28"/>
      <c r="E6" s="28"/>
      <c r="F6" s="28"/>
      <c r="G6" s="12"/>
      <c r="H6" s="15"/>
      <c r="I6" s="15"/>
      <c r="J6" s="15"/>
      <c r="K6" s="12" t="s">
        <v>20</v>
      </c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3"/>
      <c r="X6" s="15"/>
      <c r="Y6" s="15"/>
      <c r="Z6" s="14"/>
      <c r="AA6" s="12"/>
      <c r="AB6" s="16" t="s">
        <v>20</v>
      </c>
      <c r="AC6" s="13"/>
      <c r="AD6" s="13"/>
      <c r="AE6" s="13"/>
      <c r="AF6" s="13"/>
      <c r="AG6" s="12"/>
      <c r="AH6" s="16"/>
      <c r="AI6" s="13"/>
      <c r="AJ6" s="13"/>
      <c r="AK6" s="13"/>
    </row>
    <row r="7" spans="1:37" s="10" customFormat="1" ht="29.25" customHeight="1">
      <c r="A7" s="29"/>
      <c r="B7" s="30"/>
      <c r="C7" s="30"/>
      <c r="D7" s="30"/>
      <c r="E7" s="30"/>
      <c r="F7" s="30"/>
      <c r="G7" s="31" t="s">
        <v>19</v>
      </c>
      <c r="H7" s="26" t="s">
        <v>46</v>
      </c>
      <c r="I7" s="19" t="s">
        <v>68</v>
      </c>
      <c r="J7" s="20" t="s">
        <v>69</v>
      </c>
      <c r="K7" s="32" t="s">
        <v>19</v>
      </c>
      <c r="L7" s="25" t="s">
        <v>47</v>
      </c>
      <c r="M7" s="21" t="s">
        <v>68</v>
      </c>
      <c r="N7" s="21" t="s">
        <v>68</v>
      </c>
      <c r="O7" s="21" t="s">
        <v>68</v>
      </c>
      <c r="P7" s="21" t="s">
        <v>68</v>
      </c>
      <c r="Q7" s="21" t="s">
        <v>68</v>
      </c>
      <c r="R7" s="21" t="s">
        <v>68</v>
      </c>
      <c r="S7" s="21" t="s">
        <v>68</v>
      </c>
      <c r="T7" s="21" t="s">
        <v>68</v>
      </c>
      <c r="U7" s="21" t="s">
        <v>68</v>
      </c>
      <c r="V7" s="21" t="s">
        <v>68</v>
      </c>
      <c r="W7" s="21" t="s">
        <v>71</v>
      </c>
      <c r="X7" s="21" t="s">
        <v>71</v>
      </c>
      <c r="Y7" s="21" t="s">
        <v>71</v>
      </c>
      <c r="Z7" s="21" t="s">
        <v>71</v>
      </c>
      <c r="AA7" s="23" t="s">
        <v>19</v>
      </c>
      <c r="AB7" s="22" t="s">
        <v>53</v>
      </c>
      <c r="AC7" s="21" t="s">
        <v>68</v>
      </c>
      <c r="AD7" s="21" t="s">
        <v>68</v>
      </c>
      <c r="AE7" s="21" t="s">
        <v>68</v>
      </c>
      <c r="AF7" s="21" t="s">
        <v>68</v>
      </c>
      <c r="AG7" s="23" t="s">
        <v>19</v>
      </c>
      <c r="AH7" s="22" t="s">
        <v>83</v>
      </c>
      <c r="AI7" s="21" t="s">
        <v>68</v>
      </c>
      <c r="AJ7" s="21" t="s">
        <v>68</v>
      </c>
      <c r="AK7" s="21" t="s">
        <v>71</v>
      </c>
    </row>
    <row r="8" spans="1:37" s="10" customFormat="1" ht="26.25" customHeight="1">
      <c r="A8" s="29"/>
      <c r="B8" s="30"/>
      <c r="C8" s="30"/>
      <c r="D8" s="30"/>
      <c r="E8" s="30"/>
      <c r="F8" s="30"/>
      <c r="G8" s="31"/>
      <c r="H8" s="26"/>
      <c r="I8" s="33" t="s">
        <v>70</v>
      </c>
      <c r="J8" s="34" t="s">
        <v>62</v>
      </c>
      <c r="K8" s="32"/>
      <c r="L8" s="25"/>
      <c r="M8" s="35" t="s">
        <v>63</v>
      </c>
      <c r="N8" s="35" t="s">
        <v>72</v>
      </c>
      <c r="O8" s="35" t="s">
        <v>73</v>
      </c>
      <c r="P8" s="35" t="s">
        <v>74</v>
      </c>
      <c r="Q8" s="35" t="s">
        <v>65</v>
      </c>
      <c r="R8" s="35" t="s">
        <v>58</v>
      </c>
      <c r="S8" s="35" t="s">
        <v>60</v>
      </c>
      <c r="T8" s="35" t="s">
        <v>75</v>
      </c>
      <c r="U8" s="35" t="s">
        <v>61</v>
      </c>
      <c r="V8" s="35" t="s">
        <v>76</v>
      </c>
      <c r="W8" s="35" t="s">
        <v>64</v>
      </c>
      <c r="X8" s="35" t="s">
        <v>77</v>
      </c>
      <c r="Y8" s="35" t="s">
        <v>78</v>
      </c>
      <c r="Z8" s="35" t="s">
        <v>79</v>
      </c>
      <c r="AA8" s="23"/>
      <c r="AB8" s="22"/>
      <c r="AC8" s="35" t="s">
        <v>80</v>
      </c>
      <c r="AD8" s="35" t="s">
        <v>59</v>
      </c>
      <c r="AE8" s="35" t="s">
        <v>81</v>
      </c>
      <c r="AF8" s="35" t="s">
        <v>82</v>
      </c>
      <c r="AG8" s="23"/>
      <c r="AH8" s="22"/>
      <c r="AI8" s="35" t="s">
        <v>84</v>
      </c>
      <c r="AJ8" s="35" t="s">
        <v>85</v>
      </c>
      <c r="AK8" s="35" t="s">
        <v>86</v>
      </c>
    </row>
    <row r="9" spans="1:37" s="1" customFormat="1">
      <c r="A9" s="36" t="s">
        <v>18</v>
      </c>
      <c r="B9" s="36"/>
      <c r="C9" s="36"/>
      <c r="D9" s="36"/>
      <c r="E9" s="36"/>
      <c r="F9" s="36"/>
      <c r="G9" s="37"/>
      <c r="H9" s="38">
        <f t="shared" ref="H9" si="0">SUM(H10:H13)</f>
        <v>0</v>
      </c>
      <c r="I9" s="38">
        <f t="shared" ref="I9:J9" si="1">SUM(I10:I13)</f>
        <v>0</v>
      </c>
      <c r="J9" s="38">
        <f t="shared" si="1"/>
        <v>0</v>
      </c>
      <c r="K9" s="39"/>
      <c r="L9" s="38">
        <v>0</v>
      </c>
      <c r="M9" s="38">
        <v>0</v>
      </c>
      <c r="N9" s="38">
        <v>0</v>
      </c>
      <c r="O9" s="38">
        <v>0</v>
      </c>
      <c r="P9" s="38">
        <v>0</v>
      </c>
      <c r="Q9" s="38">
        <v>0</v>
      </c>
      <c r="R9" s="38">
        <v>0</v>
      </c>
      <c r="S9" s="38">
        <v>0</v>
      </c>
      <c r="T9" s="38">
        <v>0</v>
      </c>
      <c r="U9" s="38">
        <v>0</v>
      </c>
      <c r="V9" s="38">
        <v>0</v>
      </c>
      <c r="W9" s="38">
        <v>0</v>
      </c>
      <c r="X9" s="38">
        <v>0</v>
      </c>
      <c r="Y9" s="38">
        <v>0</v>
      </c>
      <c r="Z9" s="38">
        <v>0</v>
      </c>
      <c r="AA9" s="39"/>
      <c r="AB9" s="38">
        <v>0</v>
      </c>
      <c r="AC9" s="38">
        <v>0</v>
      </c>
      <c r="AD9" s="38">
        <v>0</v>
      </c>
      <c r="AE9" s="38">
        <v>0</v>
      </c>
      <c r="AF9" s="38">
        <v>0</v>
      </c>
      <c r="AG9" s="39"/>
      <c r="AH9" s="38">
        <v>0</v>
      </c>
      <c r="AI9" s="38">
        <v>0</v>
      </c>
      <c r="AJ9" s="38">
        <v>0</v>
      </c>
      <c r="AK9" s="38">
        <v>0</v>
      </c>
    </row>
    <row r="10" spans="1:37" s="1" customFormat="1">
      <c r="A10" s="40" t="s">
        <v>26</v>
      </c>
      <c r="B10" s="40"/>
      <c r="C10" s="40"/>
      <c r="D10" s="40"/>
      <c r="E10" s="40"/>
      <c r="F10" s="40"/>
      <c r="G10" s="41" t="s">
        <v>11</v>
      </c>
      <c r="H10" s="42">
        <v>0</v>
      </c>
      <c r="I10" s="42">
        <v>0</v>
      </c>
      <c r="J10" s="42">
        <v>0</v>
      </c>
      <c r="K10" s="42" t="s">
        <v>11</v>
      </c>
      <c r="L10" s="42">
        <v>0</v>
      </c>
      <c r="M10" s="42">
        <v>0</v>
      </c>
      <c r="N10" s="42">
        <v>0</v>
      </c>
      <c r="O10" s="42">
        <v>0</v>
      </c>
      <c r="P10" s="42">
        <v>0</v>
      </c>
      <c r="Q10" s="42">
        <v>0</v>
      </c>
      <c r="R10" s="42">
        <v>0</v>
      </c>
      <c r="S10" s="42">
        <v>0</v>
      </c>
      <c r="T10" s="42">
        <v>0</v>
      </c>
      <c r="U10" s="42">
        <v>0</v>
      </c>
      <c r="V10" s="42">
        <v>0</v>
      </c>
      <c r="W10" s="42">
        <v>0</v>
      </c>
      <c r="X10" s="42">
        <v>0</v>
      </c>
      <c r="Y10" s="42">
        <v>0</v>
      </c>
      <c r="Z10" s="42">
        <v>0</v>
      </c>
      <c r="AA10" s="42" t="s">
        <v>11</v>
      </c>
      <c r="AB10" s="42">
        <v>0</v>
      </c>
      <c r="AC10" s="42">
        <v>0</v>
      </c>
      <c r="AD10" s="42">
        <v>0</v>
      </c>
      <c r="AE10" s="42">
        <v>0</v>
      </c>
      <c r="AF10" s="42">
        <v>0</v>
      </c>
      <c r="AG10" s="42" t="s">
        <v>11</v>
      </c>
      <c r="AH10" s="42">
        <v>0</v>
      </c>
      <c r="AI10" s="42">
        <v>0</v>
      </c>
      <c r="AJ10" s="42">
        <v>0</v>
      </c>
      <c r="AK10" s="42">
        <v>0</v>
      </c>
    </row>
    <row r="11" spans="1:37" s="1" customFormat="1">
      <c r="A11" s="40" t="s">
        <v>27</v>
      </c>
      <c r="B11" s="40"/>
      <c r="C11" s="40"/>
      <c r="D11" s="40"/>
      <c r="E11" s="40"/>
      <c r="F11" s="40"/>
      <c r="G11" s="41" t="s">
        <v>11</v>
      </c>
      <c r="H11" s="42">
        <v>0</v>
      </c>
      <c r="I11" s="42">
        <v>0</v>
      </c>
      <c r="J11" s="42">
        <v>0</v>
      </c>
      <c r="K11" s="42" t="s">
        <v>11</v>
      </c>
      <c r="L11" s="42">
        <v>0</v>
      </c>
      <c r="M11" s="42">
        <v>0</v>
      </c>
      <c r="N11" s="42">
        <v>0</v>
      </c>
      <c r="O11" s="42">
        <v>0</v>
      </c>
      <c r="P11" s="42">
        <v>0</v>
      </c>
      <c r="Q11" s="42">
        <v>0</v>
      </c>
      <c r="R11" s="42">
        <v>0</v>
      </c>
      <c r="S11" s="42">
        <v>0</v>
      </c>
      <c r="T11" s="42">
        <v>0</v>
      </c>
      <c r="U11" s="42">
        <v>0</v>
      </c>
      <c r="V11" s="42">
        <v>0</v>
      </c>
      <c r="W11" s="42">
        <v>0</v>
      </c>
      <c r="X11" s="42">
        <v>0</v>
      </c>
      <c r="Y11" s="42">
        <v>0</v>
      </c>
      <c r="Z11" s="42">
        <v>0</v>
      </c>
      <c r="AA11" s="42" t="s">
        <v>11</v>
      </c>
      <c r="AB11" s="42">
        <v>0</v>
      </c>
      <c r="AC11" s="42">
        <v>0</v>
      </c>
      <c r="AD11" s="42">
        <v>0</v>
      </c>
      <c r="AE11" s="42">
        <v>0</v>
      </c>
      <c r="AF11" s="42">
        <v>0</v>
      </c>
      <c r="AG11" s="42" t="s">
        <v>11</v>
      </c>
      <c r="AH11" s="42">
        <v>0</v>
      </c>
      <c r="AI11" s="42">
        <v>0</v>
      </c>
      <c r="AJ11" s="42">
        <v>0</v>
      </c>
      <c r="AK11" s="42">
        <v>0</v>
      </c>
    </row>
    <row r="12" spans="1:37" s="1" customFormat="1">
      <c r="A12" s="40" t="s">
        <v>17</v>
      </c>
      <c r="B12" s="40"/>
      <c r="C12" s="40"/>
      <c r="D12" s="40"/>
      <c r="E12" s="40"/>
      <c r="F12" s="40"/>
      <c r="G12" s="41" t="s">
        <v>11</v>
      </c>
      <c r="H12" s="42">
        <v>0</v>
      </c>
      <c r="I12" s="42">
        <v>0</v>
      </c>
      <c r="J12" s="42">
        <v>0</v>
      </c>
      <c r="K12" s="42" t="s">
        <v>11</v>
      </c>
      <c r="L12" s="42">
        <v>0</v>
      </c>
      <c r="M12" s="42">
        <v>0</v>
      </c>
      <c r="N12" s="42">
        <v>0</v>
      </c>
      <c r="O12" s="42">
        <v>0</v>
      </c>
      <c r="P12" s="42">
        <v>0</v>
      </c>
      <c r="Q12" s="42">
        <v>0</v>
      </c>
      <c r="R12" s="42">
        <v>0</v>
      </c>
      <c r="S12" s="42">
        <v>0</v>
      </c>
      <c r="T12" s="42">
        <v>0</v>
      </c>
      <c r="U12" s="42">
        <v>0</v>
      </c>
      <c r="V12" s="42">
        <v>0</v>
      </c>
      <c r="W12" s="42">
        <v>0</v>
      </c>
      <c r="X12" s="42">
        <v>0</v>
      </c>
      <c r="Y12" s="42">
        <v>0</v>
      </c>
      <c r="Z12" s="42">
        <v>0</v>
      </c>
      <c r="AA12" s="42" t="s">
        <v>11</v>
      </c>
      <c r="AB12" s="42">
        <v>0</v>
      </c>
      <c r="AC12" s="42">
        <v>0</v>
      </c>
      <c r="AD12" s="42">
        <v>0</v>
      </c>
      <c r="AE12" s="42">
        <v>0</v>
      </c>
      <c r="AF12" s="42">
        <v>0</v>
      </c>
      <c r="AG12" s="42" t="s">
        <v>11</v>
      </c>
      <c r="AH12" s="42">
        <v>0</v>
      </c>
      <c r="AI12" s="42">
        <v>0</v>
      </c>
      <c r="AJ12" s="42">
        <v>0</v>
      </c>
      <c r="AK12" s="42">
        <v>0</v>
      </c>
    </row>
    <row r="13" spans="1:37" s="1" customFormat="1">
      <c r="A13" s="40" t="s">
        <v>16</v>
      </c>
      <c r="B13" s="40"/>
      <c r="C13" s="40"/>
      <c r="D13" s="40"/>
      <c r="E13" s="40"/>
      <c r="F13" s="40"/>
      <c r="G13" s="41" t="s">
        <v>15</v>
      </c>
      <c r="H13" s="42">
        <v>0</v>
      </c>
      <c r="I13" s="42">
        <v>0</v>
      </c>
      <c r="J13" s="42">
        <v>0</v>
      </c>
      <c r="K13" s="42" t="s">
        <v>15</v>
      </c>
      <c r="L13" s="42">
        <v>0</v>
      </c>
      <c r="M13" s="42">
        <v>0</v>
      </c>
      <c r="N13" s="42">
        <v>0</v>
      </c>
      <c r="O13" s="42">
        <v>0</v>
      </c>
      <c r="P13" s="42">
        <v>0</v>
      </c>
      <c r="Q13" s="42">
        <v>0</v>
      </c>
      <c r="R13" s="42">
        <v>0</v>
      </c>
      <c r="S13" s="42">
        <v>0</v>
      </c>
      <c r="T13" s="42">
        <v>0</v>
      </c>
      <c r="U13" s="42">
        <v>0</v>
      </c>
      <c r="V13" s="42">
        <v>0</v>
      </c>
      <c r="W13" s="42">
        <v>0</v>
      </c>
      <c r="X13" s="42">
        <v>0</v>
      </c>
      <c r="Y13" s="42">
        <v>0</v>
      </c>
      <c r="Z13" s="42">
        <v>0</v>
      </c>
      <c r="AA13" s="42" t="s">
        <v>15</v>
      </c>
      <c r="AB13" s="42">
        <v>0</v>
      </c>
      <c r="AC13" s="42">
        <v>0</v>
      </c>
      <c r="AD13" s="42">
        <v>0</v>
      </c>
      <c r="AE13" s="42">
        <v>0</v>
      </c>
      <c r="AF13" s="42">
        <v>0</v>
      </c>
      <c r="AG13" s="42" t="s">
        <v>15</v>
      </c>
      <c r="AH13" s="42">
        <v>0</v>
      </c>
      <c r="AI13" s="42">
        <v>0</v>
      </c>
      <c r="AJ13" s="42">
        <v>0</v>
      </c>
      <c r="AK13" s="42">
        <v>0</v>
      </c>
    </row>
    <row r="14" spans="1:37" s="1" customFormat="1" ht="23.85" customHeight="1">
      <c r="A14" s="43" t="s">
        <v>14</v>
      </c>
      <c r="B14" s="43"/>
      <c r="C14" s="43"/>
      <c r="D14" s="43"/>
      <c r="E14" s="43"/>
      <c r="F14" s="43"/>
      <c r="G14" s="37"/>
      <c r="H14" s="38">
        <f t="shared" ref="H14" si="2">SUM(H15:H21)</f>
        <v>4.6500000000000004</v>
      </c>
      <c r="I14" s="38">
        <f t="shared" ref="I14:J14" si="3">SUM(I15:I21)</f>
        <v>38797.74</v>
      </c>
      <c r="J14" s="38">
        <f t="shared" si="3"/>
        <v>37213.019999999997</v>
      </c>
      <c r="K14" s="39"/>
      <c r="L14" s="38">
        <v>11.129999999999999</v>
      </c>
      <c r="M14" s="38">
        <f t="shared" ref="M14:W14" si="4">SUM(M15:M21)</f>
        <v>54131.868000000002</v>
      </c>
      <c r="N14" s="38">
        <f t="shared" si="4"/>
        <v>67982.040000000008</v>
      </c>
      <c r="O14" s="38">
        <f t="shared" si="4"/>
        <v>95014.584000000003</v>
      </c>
      <c r="P14" s="38">
        <f t="shared" si="4"/>
        <v>73324.44</v>
      </c>
      <c r="Q14" s="38">
        <f t="shared" si="4"/>
        <v>75888.792000000001</v>
      </c>
      <c r="R14" s="38">
        <f t="shared" si="4"/>
        <v>76503.167999999991</v>
      </c>
      <c r="S14" s="38">
        <f t="shared" si="4"/>
        <v>91568.736000000004</v>
      </c>
      <c r="T14" s="38">
        <f t="shared" si="4"/>
        <v>53610.983999999997</v>
      </c>
      <c r="U14" s="38">
        <f t="shared" si="4"/>
        <v>95201.567999999999</v>
      </c>
      <c r="V14" s="38">
        <f t="shared" si="4"/>
        <v>71521.38</v>
      </c>
      <c r="W14" s="38">
        <f t="shared" si="4"/>
        <v>67140.611999999994</v>
      </c>
      <c r="X14" s="38">
        <f t="shared" ref="X14:Z14" si="5">SUM(X15:X21)</f>
        <v>68542.992000000013</v>
      </c>
      <c r="Y14" s="38">
        <f t="shared" si="5"/>
        <v>68569.703999999998</v>
      </c>
      <c r="Z14" s="38">
        <f t="shared" si="5"/>
        <v>68930.316000000006</v>
      </c>
      <c r="AA14" s="39"/>
      <c r="AB14" s="38">
        <v>10.45</v>
      </c>
      <c r="AC14" s="38">
        <f t="shared" ref="AC14:AD14" si="6">SUM(AC15:AC21)</f>
        <v>60242.16</v>
      </c>
      <c r="AD14" s="38">
        <f t="shared" si="6"/>
        <v>49683.479999999996</v>
      </c>
      <c r="AE14" s="38">
        <f t="shared" ref="AE14:AJ14" si="7">SUM(AE15:AE21)</f>
        <v>91780.26</v>
      </c>
      <c r="AF14" s="38">
        <f t="shared" si="7"/>
        <v>89535.6</v>
      </c>
      <c r="AG14" s="39"/>
      <c r="AH14" s="38">
        <v>5.0999999999999996</v>
      </c>
      <c r="AI14" s="38">
        <f t="shared" si="7"/>
        <v>35428.68</v>
      </c>
      <c r="AJ14" s="38">
        <f t="shared" si="7"/>
        <v>36224.28</v>
      </c>
      <c r="AK14" s="38">
        <f t="shared" ref="AK14" si="8">SUM(AK15:AK21)</f>
        <v>32307.479999999996</v>
      </c>
    </row>
    <row r="15" spans="1:37" s="1" customFormat="1">
      <c r="A15" s="40" t="s">
        <v>40</v>
      </c>
      <c r="B15" s="40"/>
      <c r="C15" s="40"/>
      <c r="D15" s="40"/>
      <c r="E15" s="40"/>
      <c r="F15" s="40"/>
      <c r="G15" s="41" t="s">
        <v>41</v>
      </c>
      <c r="H15" s="42">
        <v>1.08</v>
      </c>
      <c r="I15" s="42">
        <f>1.08*12*I35</f>
        <v>9011.0879999999997</v>
      </c>
      <c r="J15" s="42">
        <f t="shared" ref="J15" si="9">1.08*12*J35</f>
        <v>8643.0239999999994</v>
      </c>
      <c r="K15" s="42" t="s">
        <v>41</v>
      </c>
      <c r="L15" s="42">
        <v>0.95</v>
      </c>
      <c r="M15" s="42">
        <f>0.95*12*M35</f>
        <v>4620.4199999999992</v>
      </c>
      <c r="N15" s="42">
        <f t="shared" ref="N15:W15" si="10">0.95*12*N35</f>
        <v>5802.5999999999995</v>
      </c>
      <c r="O15" s="42">
        <f t="shared" si="10"/>
        <v>8109.9599999999991</v>
      </c>
      <c r="P15" s="42">
        <f t="shared" si="10"/>
        <v>6258.5999999999995</v>
      </c>
      <c r="Q15" s="42">
        <f t="shared" si="10"/>
        <v>6477.48</v>
      </c>
      <c r="R15" s="42">
        <f t="shared" si="10"/>
        <v>6529.9199999999983</v>
      </c>
      <c r="S15" s="42">
        <f t="shared" si="10"/>
        <v>7815.8399999999992</v>
      </c>
      <c r="T15" s="42">
        <f t="shared" si="10"/>
        <v>4575.9599999999991</v>
      </c>
      <c r="U15" s="42">
        <f t="shared" si="10"/>
        <v>8125.9199999999983</v>
      </c>
      <c r="V15" s="42">
        <f t="shared" si="10"/>
        <v>6104.6999999999989</v>
      </c>
      <c r="W15" s="42">
        <f t="shared" si="10"/>
        <v>5730.7799999999988</v>
      </c>
      <c r="X15" s="42">
        <f t="shared" ref="X15:Z15" si="11">0.95*12*X35</f>
        <v>5850.48</v>
      </c>
      <c r="Y15" s="42">
        <f t="shared" si="11"/>
        <v>5852.7599999999993</v>
      </c>
      <c r="Z15" s="42">
        <f t="shared" si="11"/>
        <v>5883.54</v>
      </c>
      <c r="AA15" s="42" t="s">
        <v>41</v>
      </c>
      <c r="AB15" s="42">
        <v>0.96</v>
      </c>
      <c r="AC15" s="42">
        <f t="shared" ref="AC15:AF15" si="12">0.96*12*AC35</f>
        <v>5534.2079999999996</v>
      </c>
      <c r="AD15" s="42">
        <f t="shared" si="12"/>
        <v>4564.2239999999993</v>
      </c>
      <c r="AE15" s="42">
        <f t="shared" si="12"/>
        <v>8431.4879999999994</v>
      </c>
      <c r="AF15" s="42">
        <f t="shared" si="12"/>
        <v>8225.2799999999988</v>
      </c>
      <c r="AG15" s="42" t="s">
        <v>41</v>
      </c>
      <c r="AH15" s="42">
        <v>1.04</v>
      </c>
      <c r="AI15" s="42">
        <f>1.04*12*AI35</f>
        <v>7224.6719999999996</v>
      </c>
      <c r="AJ15" s="42">
        <f t="shared" ref="AJ15:AK15" si="13">1.04*12*AJ35</f>
        <v>7386.9120000000003</v>
      </c>
      <c r="AK15" s="42">
        <f t="shared" si="13"/>
        <v>6588.192</v>
      </c>
    </row>
    <row r="16" spans="1:37" s="1" customFormat="1">
      <c r="A16" s="40" t="s">
        <v>31</v>
      </c>
      <c r="B16" s="40"/>
      <c r="C16" s="40"/>
      <c r="D16" s="40"/>
      <c r="E16" s="40"/>
      <c r="F16" s="40"/>
      <c r="G16" s="41" t="s">
        <v>13</v>
      </c>
      <c r="H16" s="42">
        <v>0.41</v>
      </c>
      <c r="I16" s="42">
        <f>0.41*12*I35</f>
        <v>3420.8759999999997</v>
      </c>
      <c r="J16" s="42">
        <f t="shared" ref="J16" si="14">0.41*12*J35</f>
        <v>3281.1479999999997</v>
      </c>
      <c r="K16" s="42" t="s">
        <v>13</v>
      </c>
      <c r="L16" s="42">
        <v>0.89</v>
      </c>
      <c r="M16" s="42">
        <f>0.89*12*M35</f>
        <v>4328.6040000000003</v>
      </c>
      <c r="N16" s="42">
        <f t="shared" ref="N16:W16" si="15">0.89*12*N35</f>
        <v>5436.12</v>
      </c>
      <c r="O16" s="42">
        <f t="shared" si="15"/>
        <v>7597.7519999999995</v>
      </c>
      <c r="P16" s="42">
        <f t="shared" si="15"/>
        <v>5863.32</v>
      </c>
      <c r="Q16" s="42">
        <f t="shared" si="15"/>
        <v>6068.3760000000002</v>
      </c>
      <c r="R16" s="42">
        <f t="shared" si="15"/>
        <v>6117.503999999999</v>
      </c>
      <c r="S16" s="42">
        <f t="shared" si="15"/>
        <v>7322.2079999999996</v>
      </c>
      <c r="T16" s="42">
        <f t="shared" si="15"/>
        <v>4286.9519999999993</v>
      </c>
      <c r="U16" s="42">
        <f t="shared" si="15"/>
        <v>7612.7039999999997</v>
      </c>
      <c r="V16" s="42">
        <f t="shared" si="15"/>
        <v>5719.1399999999994</v>
      </c>
      <c r="W16" s="42">
        <f t="shared" si="15"/>
        <v>5368.8359999999993</v>
      </c>
      <c r="X16" s="42">
        <f t="shared" ref="X16:Z16" si="16">0.89*12*X35</f>
        <v>5480.9760000000006</v>
      </c>
      <c r="Y16" s="42">
        <f t="shared" si="16"/>
        <v>5483.1119999999992</v>
      </c>
      <c r="Z16" s="42">
        <f t="shared" si="16"/>
        <v>5511.9480000000003</v>
      </c>
      <c r="AA16" s="42" t="s">
        <v>13</v>
      </c>
      <c r="AB16" s="42">
        <v>0.47</v>
      </c>
      <c r="AC16" s="42">
        <f t="shared" ref="AC16:AF16" si="17">0.47*12*AC35</f>
        <v>2709.4559999999997</v>
      </c>
      <c r="AD16" s="42">
        <f t="shared" si="17"/>
        <v>2234.5679999999998</v>
      </c>
      <c r="AE16" s="42">
        <f t="shared" si="17"/>
        <v>4127.9159999999993</v>
      </c>
      <c r="AF16" s="42">
        <f t="shared" si="17"/>
        <v>4026.9599999999996</v>
      </c>
      <c r="AG16" s="42" t="s">
        <v>13</v>
      </c>
      <c r="AH16" s="42">
        <v>0.95</v>
      </c>
      <c r="AI16" s="42">
        <f>0.95*12*AI35</f>
        <v>6599.4599999999991</v>
      </c>
      <c r="AJ16" s="42">
        <f t="shared" ref="AJ16:AK16" si="18">0.95*12*AJ35</f>
        <v>6747.6599999999989</v>
      </c>
      <c r="AK16" s="42">
        <f t="shared" si="18"/>
        <v>6018.0599999999986</v>
      </c>
    </row>
    <row r="17" spans="1:37" s="1" customFormat="1">
      <c r="A17" s="40" t="s">
        <v>32</v>
      </c>
      <c r="B17" s="40"/>
      <c r="C17" s="40"/>
      <c r="D17" s="40"/>
      <c r="E17" s="40"/>
      <c r="F17" s="40"/>
      <c r="G17" s="41" t="s">
        <v>42</v>
      </c>
      <c r="H17" s="42">
        <v>0.32</v>
      </c>
      <c r="I17" s="42">
        <f>0.32*12*I35</f>
        <v>2669.9519999999998</v>
      </c>
      <c r="J17" s="42">
        <f t="shared" ref="J17" si="19">0.32*12*J35</f>
        <v>2560.8959999999997</v>
      </c>
      <c r="K17" s="42" t="s">
        <v>42</v>
      </c>
      <c r="L17" s="42">
        <v>0.38</v>
      </c>
      <c r="M17" s="42">
        <f>0.38*12*M35</f>
        <v>1848.1680000000003</v>
      </c>
      <c r="N17" s="42">
        <f t="shared" ref="N17:W17" si="20">0.38*12*N35</f>
        <v>2321.0400000000004</v>
      </c>
      <c r="O17" s="42">
        <f t="shared" si="20"/>
        <v>3243.9840000000004</v>
      </c>
      <c r="P17" s="42">
        <f t="shared" si="20"/>
        <v>2503.44</v>
      </c>
      <c r="Q17" s="42">
        <f t="shared" si="20"/>
        <v>2590.9920000000006</v>
      </c>
      <c r="R17" s="42">
        <f t="shared" si="20"/>
        <v>2611.9680000000003</v>
      </c>
      <c r="S17" s="42">
        <f t="shared" si="20"/>
        <v>3126.3360000000002</v>
      </c>
      <c r="T17" s="42">
        <f t="shared" si="20"/>
        <v>1830.384</v>
      </c>
      <c r="U17" s="42">
        <f t="shared" si="20"/>
        <v>3250.3679999999999</v>
      </c>
      <c r="V17" s="42">
        <f t="shared" si="20"/>
        <v>2441.88</v>
      </c>
      <c r="W17" s="42">
        <f t="shared" si="20"/>
        <v>2292.3120000000004</v>
      </c>
      <c r="X17" s="42">
        <f t="shared" ref="X17:Z17" si="21">0.38*12*X35</f>
        <v>2340.1920000000005</v>
      </c>
      <c r="Y17" s="42">
        <f t="shared" si="21"/>
        <v>2341.1040000000003</v>
      </c>
      <c r="Z17" s="42">
        <f t="shared" si="21"/>
        <v>2353.4160000000002</v>
      </c>
      <c r="AA17" s="42" t="s">
        <v>42</v>
      </c>
      <c r="AB17" s="42">
        <v>0.23</v>
      </c>
      <c r="AC17" s="42">
        <f t="shared" ref="AC17:AF17" si="22">0.23*12*AC35</f>
        <v>1325.904</v>
      </c>
      <c r="AD17" s="42">
        <f t="shared" si="22"/>
        <v>1093.5120000000002</v>
      </c>
      <c r="AE17" s="42">
        <f t="shared" si="22"/>
        <v>2020.0440000000001</v>
      </c>
      <c r="AF17" s="42">
        <f t="shared" si="22"/>
        <v>1970.64</v>
      </c>
      <c r="AG17" s="42" t="s">
        <v>42</v>
      </c>
      <c r="AH17" s="42">
        <v>0.24</v>
      </c>
      <c r="AI17" s="42">
        <f>0.24*12*AI35</f>
        <v>1667.232</v>
      </c>
      <c r="AJ17" s="42">
        <f t="shared" ref="AJ17:AK17" si="23">0.24*12*AJ35</f>
        <v>1704.6719999999998</v>
      </c>
      <c r="AK17" s="42">
        <f t="shared" si="23"/>
        <v>1520.3519999999999</v>
      </c>
    </row>
    <row r="18" spans="1:37" s="1" customFormat="1" ht="50.25" customHeight="1">
      <c r="A18" s="44" t="s">
        <v>33</v>
      </c>
      <c r="B18" s="44"/>
      <c r="C18" s="44"/>
      <c r="D18" s="44"/>
      <c r="E18" s="44"/>
      <c r="F18" s="44"/>
      <c r="G18" s="45" t="s">
        <v>12</v>
      </c>
      <c r="H18" s="42">
        <v>0.17</v>
      </c>
      <c r="I18" s="42">
        <f>0.17*12*I35</f>
        <v>1418.412</v>
      </c>
      <c r="J18" s="42">
        <f t="shared" ref="J18" si="24">0.17*12*J35</f>
        <v>1360.4759999999999</v>
      </c>
      <c r="K18" s="46" t="s">
        <v>12</v>
      </c>
      <c r="L18" s="42">
        <v>0.27</v>
      </c>
      <c r="M18" s="42">
        <f>0.27*12*M35</f>
        <v>1313.172</v>
      </c>
      <c r="N18" s="42">
        <f t="shared" ref="N18:W18" si="25">0.27*12*N35</f>
        <v>1649.16</v>
      </c>
      <c r="O18" s="42">
        <f t="shared" si="25"/>
        <v>2304.9360000000001</v>
      </c>
      <c r="P18" s="42">
        <f t="shared" si="25"/>
        <v>1778.7600000000002</v>
      </c>
      <c r="Q18" s="42">
        <f t="shared" si="25"/>
        <v>1840.9680000000003</v>
      </c>
      <c r="R18" s="42">
        <f t="shared" si="25"/>
        <v>1855.8720000000001</v>
      </c>
      <c r="S18" s="42">
        <f t="shared" si="25"/>
        <v>2221.3440000000001</v>
      </c>
      <c r="T18" s="42">
        <f t="shared" si="25"/>
        <v>1300.5360000000001</v>
      </c>
      <c r="U18" s="42">
        <f t="shared" si="25"/>
        <v>2309.4720000000002</v>
      </c>
      <c r="V18" s="42">
        <f t="shared" si="25"/>
        <v>1735.0200000000002</v>
      </c>
      <c r="W18" s="42">
        <f t="shared" si="25"/>
        <v>1628.748</v>
      </c>
      <c r="X18" s="42">
        <f t="shared" ref="X18:Z18" si="26">0.27*12*X35</f>
        <v>1662.7680000000003</v>
      </c>
      <c r="Y18" s="42">
        <f t="shared" si="26"/>
        <v>1663.4159999999999</v>
      </c>
      <c r="Z18" s="42">
        <f t="shared" si="26"/>
        <v>1672.1640000000002</v>
      </c>
      <c r="AA18" s="46" t="s">
        <v>12</v>
      </c>
      <c r="AB18" s="42">
        <v>0.15</v>
      </c>
      <c r="AC18" s="42">
        <f t="shared" ref="AC18:AF18" si="27">0.15*12*AC35</f>
        <v>864.71999999999991</v>
      </c>
      <c r="AD18" s="42">
        <f t="shared" si="27"/>
        <v>713.15999999999985</v>
      </c>
      <c r="AE18" s="42">
        <f t="shared" si="27"/>
        <v>1317.4199999999998</v>
      </c>
      <c r="AF18" s="42">
        <f t="shared" si="27"/>
        <v>1285.1999999999998</v>
      </c>
      <c r="AG18" s="46" t="s">
        <v>12</v>
      </c>
      <c r="AH18" s="42">
        <v>0.2</v>
      </c>
      <c r="AI18" s="42">
        <f>0.2*12*AI35</f>
        <v>1389.3600000000001</v>
      </c>
      <c r="AJ18" s="42">
        <f t="shared" ref="AJ18:AK18" si="28">0.2*12*AJ35</f>
        <v>1420.5600000000002</v>
      </c>
      <c r="AK18" s="42">
        <f t="shared" si="28"/>
        <v>1266.96</v>
      </c>
    </row>
    <row r="19" spans="1:37" s="1" customFormat="1">
      <c r="A19" s="44" t="s">
        <v>34</v>
      </c>
      <c r="B19" s="40"/>
      <c r="C19" s="40"/>
      <c r="D19" s="40"/>
      <c r="E19" s="40"/>
      <c r="F19" s="40"/>
      <c r="G19" s="41" t="s">
        <v>43</v>
      </c>
      <c r="H19" s="42">
        <v>0.05</v>
      </c>
      <c r="I19" s="42">
        <f>0.05*12*I35</f>
        <v>417.18</v>
      </c>
      <c r="J19" s="42">
        <f t="shared" ref="J19" si="29">0.05*12*J35</f>
        <v>400.14000000000004</v>
      </c>
      <c r="K19" s="42" t="s">
        <v>43</v>
      </c>
      <c r="L19" s="42">
        <v>0.05</v>
      </c>
      <c r="M19" s="42">
        <f t="shared" ref="M19:W19" si="30">0.05*12*M35</f>
        <v>243.18000000000004</v>
      </c>
      <c r="N19" s="42">
        <f t="shared" si="30"/>
        <v>305.40000000000003</v>
      </c>
      <c r="O19" s="42">
        <f t="shared" si="30"/>
        <v>426.84000000000003</v>
      </c>
      <c r="P19" s="42">
        <f t="shared" si="30"/>
        <v>329.40000000000003</v>
      </c>
      <c r="Q19" s="42">
        <f t="shared" si="30"/>
        <v>340.92000000000007</v>
      </c>
      <c r="R19" s="42">
        <f t="shared" si="30"/>
        <v>343.68</v>
      </c>
      <c r="S19" s="42">
        <f t="shared" si="30"/>
        <v>411.36000000000007</v>
      </c>
      <c r="T19" s="42">
        <f t="shared" si="30"/>
        <v>240.84000000000003</v>
      </c>
      <c r="U19" s="42">
        <f t="shared" si="30"/>
        <v>427.68000000000006</v>
      </c>
      <c r="V19" s="42">
        <f t="shared" si="30"/>
        <v>321.30000000000007</v>
      </c>
      <c r="W19" s="42">
        <f t="shared" si="30"/>
        <v>301.62000000000006</v>
      </c>
      <c r="X19" s="42">
        <f t="shared" ref="X19:Z19" si="31">0.05*12*X35</f>
        <v>307.92000000000007</v>
      </c>
      <c r="Y19" s="42">
        <f t="shared" si="31"/>
        <v>308.04000000000002</v>
      </c>
      <c r="Z19" s="42">
        <f t="shared" si="31"/>
        <v>309.66000000000008</v>
      </c>
      <c r="AA19" s="42" t="s">
        <v>43</v>
      </c>
      <c r="AB19" s="42">
        <v>0.05</v>
      </c>
      <c r="AC19" s="42">
        <f t="shared" ref="AC19:AD19" si="32">0.05*12*AC35</f>
        <v>288.24</v>
      </c>
      <c r="AD19" s="42">
        <f t="shared" si="32"/>
        <v>237.72000000000003</v>
      </c>
      <c r="AE19" s="42">
        <f t="shared" ref="AE19:AF19" si="33">0.05*12*AE35</f>
        <v>439.14000000000004</v>
      </c>
      <c r="AF19" s="42">
        <f t="shared" si="33"/>
        <v>428.40000000000009</v>
      </c>
      <c r="AG19" s="42" t="s">
        <v>43</v>
      </c>
      <c r="AH19" s="42">
        <v>0.05</v>
      </c>
      <c r="AI19" s="42">
        <f>0.05*12*AI35</f>
        <v>347.34000000000003</v>
      </c>
      <c r="AJ19" s="42">
        <f t="shared" ref="AJ19:AK19" si="34">0.05*12*AJ35</f>
        <v>355.14000000000004</v>
      </c>
      <c r="AK19" s="42">
        <f t="shared" si="34"/>
        <v>316.74</v>
      </c>
    </row>
    <row r="20" spans="1:37" s="1" customFormat="1" ht="36">
      <c r="A20" s="40" t="s">
        <v>35</v>
      </c>
      <c r="B20" s="40"/>
      <c r="C20" s="40"/>
      <c r="D20" s="40"/>
      <c r="E20" s="40"/>
      <c r="F20" s="40"/>
      <c r="G20" s="47" t="s">
        <v>49</v>
      </c>
      <c r="H20" s="42">
        <v>2.62</v>
      </c>
      <c r="I20" s="42">
        <f>2.62*12*I35</f>
        <v>21860.232</v>
      </c>
      <c r="J20" s="42">
        <f t="shared" ref="J20" si="35">2.62*12*J35</f>
        <v>20967.335999999999</v>
      </c>
      <c r="K20" s="48" t="s">
        <v>49</v>
      </c>
      <c r="L20" s="42">
        <v>3.89</v>
      </c>
      <c r="M20" s="42">
        <f>3.89*12*M35</f>
        <v>18919.403999999999</v>
      </c>
      <c r="N20" s="42">
        <f t="shared" ref="N20:W20" si="36">3.89*12*N35</f>
        <v>23760.12</v>
      </c>
      <c r="O20" s="42">
        <f t="shared" si="36"/>
        <v>33208.152000000002</v>
      </c>
      <c r="P20" s="42">
        <f t="shared" si="36"/>
        <v>25627.32</v>
      </c>
      <c r="Q20" s="42">
        <f t="shared" si="36"/>
        <v>26523.576000000001</v>
      </c>
      <c r="R20" s="42">
        <f t="shared" si="36"/>
        <v>26738.303999999996</v>
      </c>
      <c r="S20" s="42">
        <f t="shared" si="36"/>
        <v>32003.808000000001</v>
      </c>
      <c r="T20" s="42">
        <f t="shared" si="36"/>
        <v>18737.351999999999</v>
      </c>
      <c r="U20" s="42">
        <f t="shared" si="36"/>
        <v>33273.504000000001</v>
      </c>
      <c r="V20" s="42">
        <f t="shared" si="36"/>
        <v>24997.14</v>
      </c>
      <c r="W20" s="42">
        <f t="shared" si="36"/>
        <v>23466.036</v>
      </c>
      <c r="X20" s="42">
        <f t="shared" ref="X20:Z20" si="37">3.89*12*X35</f>
        <v>23956.176000000003</v>
      </c>
      <c r="Y20" s="42">
        <f t="shared" si="37"/>
        <v>23965.511999999999</v>
      </c>
      <c r="Z20" s="42">
        <f t="shared" si="37"/>
        <v>24091.548000000003</v>
      </c>
      <c r="AA20" s="48" t="s">
        <v>49</v>
      </c>
      <c r="AB20" s="42">
        <v>3.89</v>
      </c>
      <c r="AC20" s="42">
        <f t="shared" ref="AC20:AD20" si="38">3.89*12*AC35</f>
        <v>22425.072</v>
      </c>
      <c r="AD20" s="42">
        <f t="shared" si="38"/>
        <v>18494.615999999998</v>
      </c>
      <c r="AE20" s="42">
        <f t="shared" ref="AE20:AF20" si="39">3.89*12*AE35</f>
        <v>34165.091999999997</v>
      </c>
      <c r="AF20" s="42">
        <f t="shared" si="39"/>
        <v>33329.519999999997</v>
      </c>
      <c r="AG20" s="48" t="s">
        <v>49</v>
      </c>
      <c r="AH20" s="42">
        <v>2.62</v>
      </c>
      <c r="AI20" s="42">
        <f>2.62*12*AI35</f>
        <v>18200.616000000002</v>
      </c>
      <c r="AJ20" s="42">
        <f t="shared" ref="AJ20:AK20" si="40">2.62*12*AJ35</f>
        <v>18609.335999999999</v>
      </c>
      <c r="AK20" s="42">
        <f t="shared" si="40"/>
        <v>16597.175999999999</v>
      </c>
    </row>
    <row r="21" spans="1:37" s="1" customFormat="1">
      <c r="A21" s="40" t="s">
        <v>36</v>
      </c>
      <c r="B21" s="40"/>
      <c r="C21" s="40"/>
      <c r="D21" s="40"/>
      <c r="E21" s="40"/>
      <c r="F21" s="40"/>
      <c r="G21" s="41" t="s">
        <v>4</v>
      </c>
      <c r="H21" s="42">
        <v>0</v>
      </c>
      <c r="I21" s="42">
        <f>0*12*I35</f>
        <v>0</v>
      </c>
      <c r="J21" s="42">
        <f t="shared" ref="J21" si="41">0*12*J35</f>
        <v>0</v>
      </c>
      <c r="K21" s="42" t="s">
        <v>4</v>
      </c>
      <c r="L21" s="42">
        <v>4.7</v>
      </c>
      <c r="M21" s="42">
        <f>4.7*12*M35</f>
        <v>22858.920000000002</v>
      </c>
      <c r="N21" s="42">
        <f t="shared" ref="N21:W21" si="42">4.7*12*N35</f>
        <v>28707.600000000002</v>
      </c>
      <c r="O21" s="42">
        <f t="shared" si="42"/>
        <v>40122.959999999999</v>
      </c>
      <c r="P21" s="42">
        <f t="shared" si="42"/>
        <v>30963.600000000002</v>
      </c>
      <c r="Q21" s="42">
        <f t="shared" si="42"/>
        <v>32046.480000000007</v>
      </c>
      <c r="R21" s="42">
        <f t="shared" si="42"/>
        <v>32305.920000000002</v>
      </c>
      <c r="S21" s="42">
        <f t="shared" si="42"/>
        <v>38667.840000000004</v>
      </c>
      <c r="T21" s="42">
        <f t="shared" si="42"/>
        <v>22638.960000000003</v>
      </c>
      <c r="U21" s="42">
        <f t="shared" si="42"/>
        <v>40201.919999999998</v>
      </c>
      <c r="V21" s="42">
        <f t="shared" si="42"/>
        <v>30202.200000000004</v>
      </c>
      <c r="W21" s="42">
        <f t="shared" si="42"/>
        <v>28352.280000000002</v>
      </c>
      <c r="X21" s="42">
        <f t="shared" ref="X21:Z21" si="43">4.7*12*X35</f>
        <v>28944.480000000007</v>
      </c>
      <c r="Y21" s="42">
        <f t="shared" si="43"/>
        <v>28955.760000000002</v>
      </c>
      <c r="Z21" s="42">
        <f t="shared" si="43"/>
        <v>29108.040000000005</v>
      </c>
      <c r="AA21" s="42" t="s">
        <v>4</v>
      </c>
      <c r="AB21" s="42">
        <v>4.7</v>
      </c>
      <c r="AC21" s="42">
        <f t="shared" ref="AC21:AD21" si="44">4.7*12*AC35</f>
        <v>27094.560000000001</v>
      </c>
      <c r="AD21" s="42">
        <f t="shared" si="44"/>
        <v>22345.68</v>
      </c>
      <c r="AE21" s="42">
        <f t="shared" ref="AE21:AF21" si="45">4.7*12*AE35</f>
        <v>41279.160000000003</v>
      </c>
      <c r="AF21" s="42">
        <f t="shared" si="45"/>
        <v>40269.600000000006</v>
      </c>
      <c r="AG21" s="42" t="s">
        <v>4</v>
      </c>
      <c r="AH21" s="42">
        <v>0</v>
      </c>
      <c r="AI21" s="42">
        <f>0*12*AI35</f>
        <v>0</v>
      </c>
      <c r="AJ21" s="42">
        <f t="shared" ref="AJ21:AK21" si="46">0*12*AJ35</f>
        <v>0</v>
      </c>
      <c r="AK21" s="42">
        <f t="shared" si="46"/>
        <v>0</v>
      </c>
    </row>
    <row r="22" spans="1:37" s="1" customFormat="1" ht="13.5" customHeight="1">
      <c r="A22" s="43" t="s">
        <v>10</v>
      </c>
      <c r="B22" s="43"/>
      <c r="C22" s="43"/>
      <c r="D22" s="43"/>
      <c r="E22" s="43"/>
      <c r="F22" s="43"/>
      <c r="G22" s="37"/>
      <c r="H22" s="49">
        <f t="shared" ref="H22" si="47">SUM(H23:H27)</f>
        <v>1.94</v>
      </c>
      <c r="I22" s="49">
        <f t="shared" ref="I22:J22" si="48">SUM(I23:I27)</f>
        <v>16186.583999999999</v>
      </c>
      <c r="J22" s="49">
        <f t="shared" si="48"/>
        <v>15525.431999999999</v>
      </c>
      <c r="K22" s="39"/>
      <c r="L22" s="49">
        <v>3.23</v>
      </c>
      <c r="M22" s="49">
        <f t="shared" ref="M22:W22" si="49">SUM(M23:M27)</f>
        <v>15709.428</v>
      </c>
      <c r="N22" s="49">
        <f t="shared" si="49"/>
        <v>19728.839999999997</v>
      </c>
      <c r="O22" s="49">
        <f t="shared" si="49"/>
        <v>27573.864000000001</v>
      </c>
      <c r="P22" s="49">
        <f t="shared" si="49"/>
        <v>21279.239999999998</v>
      </c>
      <c r="Q22" s="49">
        <f t="shared" si="49"/>
        <v>22023.432000000001</v>
      </c>
      <c r="R22" s="49">
        <f t="shared" si="49"/>
        <v>22201.727999999996</v>
      </c>
      <c r="S22" s="49">
        <f t="shared" si="49"/>
        <v>26573.856</v>
      </c>
      <c r="T22" s="49">
        <f t="shared" si="49"/>
        <v>15558.263999999997</v>
      </c>
      <c r="U22" s="49">
        <f t="shared" si="49"/>
        <v>27628.127999999997</v>
      </c>
      <c r="V22" s="49">
        <f t="shared" si="49"/>
        <v>20755.98</v>
      </c>
      <c r="W22" s="49">
        <f t="shared" si="49"/>
        <v>19484.651999999998</v>
      </c>
      <c r="X22" s="49">
        <f t="shared" ref="X22:Z22" si="50">SUM(X23:X27)</f>
        <v>19891.632000000001</v>
      </c>
      <c r="Y22" s="49">
        <f t="shared" si="50"/>
        <v>19899.383999999998</v>
      </c>
      <c r="Z22" s="49">
        <f t="shared" si="50"/>
        <v>20004.036</v>
      </c>
      <c r="AA22" s="39"/>
      <c r="AB22" s="49">
        <v>1.9</v>
      </c>
      <c r="AC22" s="49">
        <f t="shared" ref="AC22:AD22" si="51">SUM(AC23:AC27)</f>
        <v>10953.119999999999</v>
      </c>
      <c r="AD22" s="49">
        <f t="shared" si="51"/>
        <v>9033.36</v>
      </c>
      <c r="AE22" s="49">
        <f t="shared" ref="AE22:AJ22" si="52">SUM(AE23:AE27)</f>
        <v>16687.32</v>
      </c>
      <c r="AF22" s="49">
        <f t="shared" si="52"/>
        <v>16279.2</v>
      </c>
      <c r="AG22" s="39"/>
      <c r="AH22" s="49">
        <v>5.21</v>
      </c>
      <c r="AI22" s="49">
        <f t="shared" si="52"/>
        <v>36192.827999999994</v>
      </c>
      <c r="AJ22" s="49">
        <f t="shared" si="52"/>
        <v>37005.587999999996</v>
      </c>
      <c r="AK22" s="49">
        <f t="shared" ref="AK22" si="53">SUM(AK23:AK27)</f>
        <v>33004.307999999997</v>
      </c>
    </row>
    <row r="23" spans="1:37" s="1" customFormat="1">
      <c r="A23" s="44" t="s">
        <v>38</v>
      </c>
      <c r="B23" s="40"/>
      <c r="C23" s="40"/>
      <c r="D23" s="40"/>
      <c r="E23" s="40"/>
      <c r="F23" s="40"/>
      <c r="G23" s="41" t="s">
        <v>4</v>
      </c>
      <c r="H23" s="42">
        <v>1.02</v>
      </c>
      <c r="I23" s="42">
        <f>1.02*12*I35</f>
        <v>8510.4719999999998</v>
      </c>
      <c r="J23" s="42">
        <f t="shared" ref="J23" si="54">1.02*12*J35</f>
        <v>8162.8559999999998</v>
      </c>
      <c r="K23" s="42" t="s">
        <v>4</v>
      </c>
      <c r="L23" s="42">
        <v>1.02</v>
      </c>
      <c r="M23" s="42">
        <f t="shared" ref="M23:W23" si="55">1.02*12*M35</f>
        <v>4960.8720000000003</v>
      </c>
      <c r="N23" s="42">
        <f t="shared" si="55"/>
        <v>6230.16</v>
      </c>
      <c r="O23" s="42">
        <f t="shared" si="55"/>
        <v>8707.5360000000001</v>
      </c>
      <c r="P23" s="42">
        <f t="shared" si="55"/>
        <v>6719.76</v>
      </c>
      <c r="Q23" s="42">
        <f t="shared" si="55"/>
        <v>6954.7680000000009</v>
      </c>
      <c r="R23" s="42">
        <f t="shared" si="55"/>
        <v>7011.0719999999992</v>
      </c>
      <c r="S23" s="42">
        <f t="shared" si="55"/>
        <v>8391.7440000000006</v>
      </c>
      <c r="T23" s="42">
        <f t="shared" si="55"/>
        <v>4913.1359999999995</v>
      </c>
      <c r="U23" s="42">
        <f t="shared" si="55"/>
        <v>8724.6720000000005</v>
      </c>
      <c r="V23" s="42">
        <f t="shared" si="55"/>
        <v>6554.52</v>
      </c>
      <c r="W23" s="42">
        <f t="shared" si="55"/>
        <v>6153.0479999999998</v>
      </c>
      <c r="X23" s="42">
        <f t="shared" ref="X23:Z23" si="56">1.02*12*X35</f>
        <v>6281.5680000000011</v>
      </c>
      <c r="Y23" s="42">
        <f t="shared" si="56"/>
        <v>6284.0159999999996</v>
      </c>
      <c r="Z23" s="42">
        <f t="shared" si="56"/>
        <v>6317.0640000000003</v>
      </c>
      <c r="AA23" s="42" t="s">
        <v>4</v>
      </c>
      <c r="AB23" s="42">
        <v>1.02</v>
      </c>
      <c r="AC23" s="42">
        <f t="shared" ref="AC23:AD23" si="57">1.02*12*AC35</f>
        <v>5880.0959999999995</v>
      </c>
      <c r="AD23" s="42">
        <f t="shared" si="57"/>
        <v>4849.4880000000003</v>
      </c>
      <c r="AE23" s="42">
        <f t="shared" ref="AE23:AF23" si="58">1.02*12*AE35</f>
        <v>8958.4560000000001</v>
      </c>
      <c r="AF23" s="42">
        <f t="shared" si="58"/>
        <v>8739.36</v>
      </c>
      <c r="AG23" s="42" t="s">
        <v>4</v>
      </c>
      <c r="AH23" s="42">
        <v>1.1499999999999999</v>
      </c>
      <c r="AI23" s="42">
        <f>1.15*12*AI35</f>
        <v>7988.8199999999988</v>
      </c>
      <c r="AJ23" s="42">
        <f t="shared" ref="AJ23:AK23" si="59">1.15*12*AJ35</f>
        <v>8168.2199999999993</v>
      </c>
      <c r="AK23" s="42">
        <f t="shared" si="59"/>
        <v>7285.0199999999995</v>
      </c>
    </row>
    <row r="24" spans="1:37" s="1" customFormat="1">
      <c r="A24" s="44" t="s">
        <v>28</v>
      </c>
      <c r="B24" s="40"/>
      <c r="C24" s="40"/>
      <c r="D24" s="40"/>
      <c r="E24" s="40"/>
      <c r="F24" s="40"/>
      <c r="G24" s="41" t="s">
        <v>3</v>
      </c>
      <c r="H24" s="42">
        <v>0</v>
      </c>
      <c r="I24" s="42">
        <f>0*1242*I35</f>
        <v>0</v>
      </c>
      <c r="J24" s="42">
        <f t="shared" ref="J24" si="60">0*1242*J35</f>
        <v>0</v>
      </c>
      <c r="K24" s="42" t="s">
        <v>3</v>
      </c>
      <c r="L24" s="42">
        <v>0</v>
      </c>
      <c r="M24" s="42">
        <f>0*12*M35</f>
        <v>0</v>
      </c>
      <c r="N24" s="42">
        <f t="shared" ref="N24:W24" si="61">0*12*N35</f>
        <v>0</v>
      </c>
      <c r="O24" s="42">
        <f t="shared" si="61"/>
        <v>0</v>
      </c>
      <c r="P24" s="42">
        <f t="shared" si="61"/>
        <v>0</v>
      </c>
      <c r="Q24" s="42">
        <f t="shared" si="61"/>
        <v>0</v>
      </c>
      <c r="R24" s="42">
        <f t="shared" si="61"/>
        <v>0</v>
      </c>
      <c r="S24" s="42">
        <f t="shared" si="61"/>
        <v>0</v>
      </c>
      <c r="T24" s="42">
        <f t="shared" si="61"/>
        <v>0</v>
      </c>
      <c r="U24" s="42">
        <f t="shared" si="61"/>
        <v>0</v>
      </c>
      <c r="V24" s="42">
        <f t="shared" si="61"/>
        <v>0</v>
      </c>
      <c r="W24" s="42">
        <f t="shared" si="61"/>
        <v>0</v>
      </c>
      <c r="X24" s="42">
        <f t="shared" ref="X24:Z24" si="62">0*12*X35</f>
        <v>0</v>
      </c>
      <c r="Y24" s="42">
        <f t="shared" si="62"/>
        <v>0</v>
      </c>
      <c r="Z24" s="42">
        <f t="shared" si="62"/>
        <v>0</v>
      </c>
      <c r="AA24" s="42" t="s">
        <v>3</v>
      </c>
      <c r="AB24" s="42">
        <v>0</v>
      </c>
      <c r="AC24" s="42">
        <f t="shared" ref="AC24:AD24" si="63">0*12*AC35</f>
        <v>0</v>
      </c>
      <c r="AD24" s="42">
        <f t="shared" si="63"/>
        <v>0</v>
      </c>
      <c r="AE24" s="42">
        <f t="shared" ref="AE24:AJ24" si="64">0*12*AE35</f>
        <v>0</v>
      </c>
      <c r="AF24" s="42">
        <f t="shared" si="64"/>
        <v>0</v>
      </c>
      <c r="AG24" s="42" t="s">
        <v>3</v>
      </c>
      <c r="AH24" s="42">
        <v>0</v>
      </c>
      <c r="AI24" s="42">
        <f t="shared" si="64"/>
        <v>0</v>
      </c>
      <c r="AJ24" s="42">
        <f t="shared" si="64"/>
        <v>0</v>
      </c>
      <c r="AK24" s="42">
        <f t="shared" ref="AK24" si="65">0*12*AK35</f>
        <v>0</v>
      </c>
    </row>
    <row r="25" spans="1:37" s="1" customFormat="1" ht="25.5" customHeight="1">
      <c r="A25" s="44" t="s">
        <v>29</v>
      </c>
      <c r="B25" s="44"/>
      <c r="C25" s="44"/>
      <c r="D25" s="44"/>
      <c r="E25" s="44"/>
      <c r="F25" s="44"/>
      <c r="G25" s="41" t="s">
        <v>8</v>
      </c>
      <c r="H25" s="42">
        <v>0</v>
      </c>
      <c r="I25" s="42">
        <f>0*12*I35</f>
        <v>0</v>
      </c>
      <c r="J25" s="42">
        <f t="shared" ref="J25" si="66">0*12*J35</f>
        <v>0</v>
      </c>
      <c r="K25" s="42" t="s">
        <v>8</v>
      </c>
      <c r="L25" s="42">
        <v>0</v>
      </c>
      <c r="M25" s="42">
        <f t="shared" ref="M25:W25" si="67">0*12*M35</f>
        <v>0</v>
      </c>
      <c r="N25" s="42">
        <f t="shared" si="67"/>
        <v>0</v>
      </c>
      <c r="O25" s="42">
        <f t="shared" si="67"/>
        <v>0</v>
      </c>
      <c r="P25" s="42">
        <f t="shared" si="67"/>
        <v>0</v>
      </c>
      <c r="Q25" s="42">
        <f t="shared" si="67"/>
        <v>0</v>
      </c>
      <c r="R25" s="42">
        <f t="shared" si="67"/>
        <v>0</v>
      </c>
      <c r="S25" s="42">
        <f t="shared" si="67"/>
        <v>0</v>
      </c>
      <c r="T25" s="42">
        <f t="shared" si="67"/>
        <v>0</v>
      </c>
      <c r="U25" s="42">
        <f t="shared" si="67"/>
        <v>0</v>
      </c>
      <c r="V25" s="42">
        <f t="shared" si="67"/>
        <v>0</v>
      </c>
      <c r="W25" s="42">
        <f t="shared" si="67"/>
        <v>0</v>
      </c>
      <c r="X25" s="42">
        <f t="shared" ref="X25:Z25" si="68">0*12*X35</f>
        <v>0</v>
      </c>
      <c r="Y25" s="42">
        <f t="shared" si="68"/>
        <v>0</v>
      </c>
      <c r="Z25" s="42">
        <f t="shared" si="68"/>
        <v>0</v>
      </c>
      <c r="AA25" s="42" t="s">
        <v>8</v>
      </c>
      <c r="AB25" s="42">
        <v>0</v>
      </c>
      <c r="AC25" s="42">
        <f t="shared" ref="AC25:AD25" si="69">0*12*AC35</f>
        <v>0</v>
      </c>
      <c r="AD25" s="42">
        <f t="shared" si="69"/>
        <v>0</v>
      </c>
      <c r="AE25" s="42">
        <f t="shared" ref="AE25:AJ25" si="70">0*12*AE35</f>
        <v>0</v>
      </c>
      <c r="AF25" s="42">
        <f t="shared" si="70"/>
        <v>0</v>
      </c>
      <c r="AG25" s="42" t="s">
        <v>8</v>
      </c>
      <c r="AH25" s="42">
        <v>0</v>
      </c>
      <c r="AI25" s="42">
        <f t="shared" si="70"/>
        <v>0</v>
      </c>
      <c r="AJ25" s="42">
        <f t="shared" si="70"/>
        <v>0</v>
      </c>
      <c r="AK25" s="42">
        <f t="shared" ref="AK25" si="71">0*12*AK35</f>
        <v>0</v>
      </c>
    </row>
    <row r="26" spans="1:37" s="1" customFormat="1" ht="38.25" customHeight="1">
      <c r="A26" s="44" t="s">
        <v>30</v>
      </c>
      <c r="B26" s="44"/>
      <c r="C26" s="44"/>
      <c r="D26" s="44"/>
      <c r="E26" s="44"/>
      <c r="F26" s="44"/>
      <c r="G26" s="45" t="s">
        <v>9</v>
      </c>
      <c r="H26" s="42">
        <f>0.03+0.01</f>
        <v>0.04</v>
      </c>
      <c r="I26" s="42">
        <f>0.04*12*I35</f>
        <v>333.74399999999997</v>
      </c>
      <c r="J26" s="42">
        <f t="shared" ref="J26" si="72">0.04*12*J35</f>
        <v>320.11199999999997</v>
      </c>
      <c r="K26" s="46" t="s">
        <v>9</v>
      </c>
      <c r="L26" s="42">
        <v>0.04</v>
      </c>
      <c r="M26" s="42">
        <f t="shared" ref="M26:W26" si="73">0.04*12*M35</f>
        <v>194.54400000000001</v>
      </c>
      <c r="N26" s="42">
        <f t="shared" si="73"/>
        <v>244.32</v>
      </c>
      <c r="O26" s="42">
        <f t="shared" si="73"/>
        <v>341.47199999999998</v>
      </c>
      <c r="P26" s="42">
        <f t="shared" si="73"/>
        <v>263.52</v>
      </c>
      <c r="Q26" s="42">
        <f t="shared" si="73"/>
        <v>272.73599999999999</v>
      </c>
      <c r="R26" s="42">
        <f t="shared" si="73"/>
        <v>274.94399999999996</v>
      </c>
      <c r="S26" s="42">
        <f t="shared" si="73"/>
        <v>329.08800000000002</v>
      </c>
      <c r="T26" s="42">
        <f t="shared" si="73"/>
        <v>192.67199999999997</v>
      </c>
      <c r="U26" s="42">
        <f t="shared" si="73"/>
        <v>342.14399999999995</v>
      </c>
      <c r="V26" s="42">
        <f t="shared" si="73"/>
        <v>257.03999999999996</v>
      </c>
      <c r="W26" s="42">
        <f t="shared" si="73"/>
        <v>241.29599999999999</v>
      </c>
      <c r="X26" s="42">
        <f t="shared" ref="X26:Z26" si="74">0.04*12*X35</f>
        <v>246.33600000000001</v>
      </c>
      <c r="Y26" s="42">
        <f t="shared" si="74"/>
        <v>246.43199999999999</v>
      </c>
      <c r="Z26" s="42">
        <f t="shared" si="74"/>
        <v>247.72800000000001</v>
      </c>
      <c r="AA26" s="46" t="s">
        <v>9</v>
      </c>
      <c r="AB26" s="42">
        <v>0.04</v>
      </c>
      <c r="AC26" s="42">
        <f t="shared" ref="AC26:AD26" si="75">0.04*12*AC35</f>
        <v>230.59199999999998</v>
      </c>
      <c r="AD26" s="42">
        <f t="shared" si="75"/>
        <v>190.17599999999999</v>
      </c>
      <c r="AE26" s="42">
        <f t="shared" ref="AE26:AJ26" si="76">0.04*12*AE35</f>
        <v>351.31199999999995</v>
      </c>
      <c r="AF26" s="42">
        <f t="shared" si="76"/>
        <v>342.71999999999997</v>
      </c>
      <c r="AG26" s="46" t="s">
        <v>9</v>
      </c>
      <c r="AH26" s="42">
        <v>0.04</v>
      </c>
      <c r="AI26" s="42">
        <f t="shared" si="76"/>
        <v>277.87199999999996</v>
      </c>
      <c r="AJ26" s="42">
        <f t="shared" si="76"/>
        <v>284.11199999999997</v>
      </c>
      <c r="AK26" s="42">
        <f t="shared" ref="AK26" si="77">0.04*12*AK35</f>
        <v>253.39199999999997</v>
      </c>
    </row>
    <row r="27" spans="1:37" s="1" customFormat="1" ht="85.5" customHeight="1">
      <c r="A27" s="44" t="s">
        <v>48</v>
      </c>
      <c r="B27" s="44"/>
      <c r="C27" s="44"/>
      <c r="D27" s="44"/>
      <c r="E27" s="44"/>
      <c r="F27" s="44"/>
      <c r="G27" s="41" t="s">
        <v>8</v>
      </c>
      <c r="H27" s="42">
        <f>0.32+0.18+0.38</f>
        <v>0.88</v>
      </c>
      <c r="I27" s="42">
        <f>0.88*12*I35</f>
        <v>7342.3679999999995</v>
      </c>
      <c r="J27" s="42">
        <f t="shared" ref="J27" si="78">0.88*12*J35</f>
        <v>7042.4639999999999</v>
      </c>
      <c r="K27" s="42" t="s">
        <v>8</v>
      </c>
      <c r="L27" s="42">
        <v>2.17</v>
      </c>
      <c r="M27" s="42">
        <f>2.17*12*M35</f>
        <v>10554.012000000001</v>
      </c>
      <c r="N27" s="42">
        <f t="shared" ref="N27:W27" si="79">2.17*12*N35</f>
        <v>13254.359999999999</v>
      </c>
      <c r="O27" s="42">
        <f t="shared" si="79"/>
        <v>18524.856</v>
      </c>
      <c r="P27" s="42">
        <f t="shared" si="79"/>
        <v>14295.96</v>
      </c>
      <c r="Q27" s="42">
        <f t="shared" si="79"/>
        <v>14795.928</v>
      </c>
      <c r="R27" s="42">
        <f t="shared" si="79"/>
        <v>14915.711999999998</v>
      </c>
      <c r="S27" s="42">
        <f t="shared" si="79"/>
        <v>17853.024000000001</v>
      </c>
      <c r="T27" s="42">
        <f t="shared" si="79"/>
        <v>10452.455999999998</v>
      </c>
      <c r="U27" s="42">
        <f t="shared" si="79"/>
        <v>18561.311999999998</v>
      </c>
      <c r="V27" s="42">
        <f t="shared" si="79"/>
        <v>13944.42</v>
      </c>
      <c r="W27" s="42">
        <f t="shared" si="79"/>
        <v>13090.307999999999</v>
      </c>
      <c r="X27" s="42">
        <f t="shared" ref="X27:Z27" si="80">2.17*12*X35</f>
        <v>13363.728000000001</v>
      </c>
      <c r="Y27" s="42">
        <f t="shared" si="80"/>
        <v>13368.936</v>
      </c>
      <c r="Z27" s="42">
        <f t="shared" si="80"/>
        <v>13439.244000000001</v>
      </c>
      <c r="AA27" s="42" t="s">
        <v>8</v>
      </c>
      <c r="AB27" s="42">
        <v>0.84</v>
      </c>
      <c r="AC27" s="42">
        <f t="shared" ref="AC27:AF27" si="81">0.84*12*AC35</f>
        <v>4842.4319999999998</v>
      </c>
      <c r="AD27" s="42">
        <f t="shared" si="81"/>
        <v>3993.6959999999999</v>
      </c>
      <c r="AE27" s="42">
        <f t="shared" si="81"/>
        <v>7377.5519999999997</v>
      </c>
      <c r="AF27" s="42">
        <f t="shared" si="81"/>
        <v>7197.12</v>
      </c>
      <c r="AG27" s="42" t="s">
        <v>8</v>
      </c>
      <c r="AH27" s="42">
        <v>4.0199999999999996</v>
      </c>
      <c r="AI27" s="42">
        <f>4.02*12*AI35</f>
        <v>27926.135999999995</v>
      </c>
      <c r="AJ27" s="42">
        <f t="shared" ref="AJ27:AK27" si="82">4.02*12*AJ35</f>
        <v>28553.255999999998</v>
      </c>
      <c r="AK27" s="42">
        <f t="shared" si="82"/>
        <v>25465.895999999997</v>
      </c>
    </row>
    <row r="28" spans="1:37" s="1" customFormat="1">
      <c r="A28" s="36" t="s">
        <v>7</v>
      </c>
      <c r="B28" s="36"/>
      <c r="C28" s="36"/>
      <c r="D28" s="36"/>
      <c r="E28" s="36"/>
      <c r="F28" s="36"/>
      <c r="G28" s="37"/>
      <c r="H28" s="49">
        <f t="shared" ref="H28" si="83">SUM(H29:H33)</f>
        <v>11.659999999999997</v>
      </c>
      <c r="I28" s="49">
        <f t="shared" ref="I28:J28" si="84">SUM(I29:I33)</f>
        <v>97286.375999999989</v>
      </c>
      <c r="J28" s="49">
        <f t="shared" si="84"/>
        <v>93312.647999999986</v>
      </c>
      <c r="K28" s="39"/>
      <c r="L28" s="49">
        <v>7.3299999999999992</v>
      </c>
      <c r="M28" s="49">
        <f t="shared" ref="M28:W28" si="85">SUM(M29:M33)</f>
        <v>35650.188000000002</v>
      </c>
      <c r="N28" s="49">
        <f t="shared" si="85"/>
        <v>44771.64</v>
      </c>
      <c r="O28" s="49">
        <f t="shared" si="85"/>
        <v>62574.744000000006</v>
      </c>
      <c r="P28" s="49">
        <f t="shared" si="85"/>
        <v>48290.040000000008</v>
      </c>
      <c r="Q28" s="49">
        <f t="shared" si="85"/>
        <v>49978.872000000003</v>
      </c>
      <c r="R28" s="49">
        <f t="shared" si="85"/>
        <v>50383.487999999998</v>
      </c>
      <c r="S28" s="49">
        <f t="shared" si="85"/>
        <v>60305.376000000011</v>
      </c>
      <c r="T28" s="49">
        <f t="shared" si="85"/>
        <v>35307.144</v>
      </c>
      <c r="U28" s="49">
        <f t="shared" si="85"/>
        <v>62697.888000000006</v>
      </c>
      <c r="V28" s="49">
        <f t="shared" si="85"/>
        <v>47102.58</v>
      </c>
      <c r="W28" s="49">
        <f t="shared" si="85"/>
        <v>44217.491999999998</v>
      </c>
      <c r="X28" s="49">
        <f t="shared" ref="X28:Z28" si="86">SUM(X29:X33)</f>
        <v>45141.072000000007</v>
      </c>
      <c r="Y28" s="49">
        <f t="shared" si="86"/>
        <v>45158.664000000004</v>
      </c>
      <c r="Z28" s="49">
        <f t="shared" si="86"/>
        <v>45396.156000000003</v>
      </c>
      <c r="AA28" s="39"/>
      <c r="AB28" s="49">
        <v>9.370000000000001</v>
      </c>
      <c r="AC28" s="49">
        <f t="shared" ref="AC28:AD28" si="87">SUM(AC29:AC33)</f>
        <v>54016.175999999999</v>
      </c>
      <c r="AD28" s="49">
        <f t="shared" si="87"/>
        <v>44548.727999999996</v>
      </c>
      <c r="AE28" s="49">
        <f t="shared" ref="AE28:AJ28" si="88">SUM(AE29:AE33)</f>
        <v>82294.835999999996</v>
      </c>
      <c r="AF28" s="49">
        <f t="shared" si="88"/>
        <v>80282.16</v>
      </c>
      <c r="AG28" s="39"/>
      <c r="AH28" s="49">
        <v>6.8</v>
      </c>
      <c r="AI28" s="49">
        <f t="shared" si="88"/>
        <v>47238.239999999998</v>
      </c>
      <c r="AJ28" s="49">
        <f t="shared" si="88"/>
        <v>48299.040000000001</v>
      </c>
      <c r="AK28" s="49">
        <f t="shared" ref="AK28" si="89">SUM(AK29:AK33)</f>
        <v>43076.639999999999</v>
      </c>
    </row>
    <row r="29" spans="1:37" s="1" customFormat="1" ht="193.5" customHeight="1">
      <c r="A29" s="44" t="s">
        <v>39</v>
      </c>
      <c r="B29" s="44"/>
      <c r="C29" s="44"/>
      <c r="D29" s="44"/>
      <c r="E29" s="44"/>
      <c r="F29" s="44"/>
      <c r="G29" s="45" t="s">
        <v>44</v>
      </c>
      <c r="H29" s="42">
        <f>0.49+0.35+2.46+2.46+0.81+0.1+0.13+0.14+0.1+0.03+0.02+0.04+0.01</f>
        <v>7.1399999999999988</v>
      </c>
      <c r="I29" s="42">
        <f>7.14*12*I35</f>
        <v>59573.303999999989</v>
      </c>
      <c r="J29" s="42">
        <f t="shared" ref="J29" si="90">7.14*12*J35</f>
        <v>57139.991999999991</v>
      </c>
      <c r="K29" s="46" t="s">
        <v>44</v>
      </c>
      <c r="L29" s="42">
        <v>1.57</v>
      </c>
      <c r="M29" s="42">
        <f>1.57*12*M35</f>
        <v>7635.8519999999999</v>
      </c>
      <c r="N29" s="42">
        <f t="shared" ref="N29:W29" si="91">1.57*12*N35</f>
        <v>9589.56</v>
      </c>
      <c r="O29" s="42">
        <f t="shared" si="91"/>
        <v>13402.776</v>
      </c>
      <c r="P29" s="42">
        <f t="shared" si="91"/>
        <v>10343.16</v>
      </c>
      <c r="Q29" s="42">
        <f t="shared" si="91"/>
        <v>10704.888000000001</v>
      </c>
      <c r="R29" s="42">
        <f t="shared" si="91"/>
        <v>10791.552</v>
      </c>
      <c r="S29" s="42">
        <f t="shared" si="91"/>
        <v>12916.704</v>
      </c>
      <c r="T29" s="42">
        <f t="shared" si="91"/>
        <v>7562.3759999999993</v>
      </c>
      <c r="U29" s="42">
        <f t="shared" si="91"/>
        <v>13429.151999999998</v>
      </c>
      <c r="V29" s="42">
        <f t="shared" si="91"/>
        <v>10088.82</v>
      </c>
      <c r="W29" s="42">
        <f t="shared" si="91"/>
        <v>9470.8680000000004</v>
      </c>
      <c r="X29" s="42">
        <f t="shared" ref="X29:Z29" si="92">1.57*12*X35</f>
        <v>9668.6880000000001</v>
      </c>
      <c r="Y29" s="42">
        <f t="shared" si="92"/>
        <v>9672.4560000000001</v>
      </c>
      <c r="Z29" s="42">
        <f t="shared" si="92"/>
        <v>9723.3240000000005</v>
      </c>
      <c r="AA29" s="46" t="s">
        <v>44</v>
      </c>
      <c r="AB29" s="42">
        <v>5.91</v>
      </c>
      <c r="AC29" s="42">
        <f t="shared" ref="AC29:AF29" si="93">5.91*12*AC35</f>
        <v>34069.968000000001</v>
      </c>
      <c r="AD29" s="42">
        <f t="shared" si="93"/>
        <v>28098.504000000001</v>
      </c>
      <c r="AE29" s="42">
        <f t="shared" si="93"/>
        <v>51906.347999999998</v>
      </c>
      <c r="AF29" s="42">
        <f t="shared" si="93"/>
        <v>50636.880000000005</v>
      </c>
      <c r="AG29" s="46" t="s">
        <v>44</v>
      </c>
      <c r="AH29" s="42">
        <v>2.2400000000000002</v>
      </c>
      <c r="AI29" s="42">
        <f>2.24*12*AI35</f>
        <v>15560.832</v>
      </c>
      <c r="AJ29" s="42">
        <f t="shared" ref="AJ29:AK29" si="94">2.24*12*AJ35</f>
        <v>15910.272000000001</v>
      </c>
      <c r="AK29" s="42">
        <f t="shared" si="94"/>
        <v>14189.952000000001</v>
      </c>
    </row>
    <row r="30" spans="1:37" s="1" customFormat="1" ht="87" customHeight="1">
      <c r="A30" s="40" t="s">
        <v>6</v>
      </c>
      <c r="B30" s="40"/>
      <c r="C30" s="40"/>
      <c r="D30" s="40"/>
      <c r="E30" s="40"/>
      <c r="F30" s="40"/>
      <c r="G30" s="45" t="s">
        <v>5</v>
      </c>
      <c r="H30" s="42">
        <v>1.4</v>
      </c>
      <c r="I30" s="42">
        <f>1.4*12*I35</f>
        <v>11681.039999999997</v>
      </c>
      <c r="J30" s="42">
        <f t="shared" ref="J30" si="95">1.4*12*J35</f>
        <v>11203.919999999998</v>
      </c>
      <c r="K30" s="46" t="s">
        <v>5</v>
      </c>
      <c r="L30" s="42">
        <v>1.85</v>
      </c>
      <c r="M30" s="42">
        <f>1.85*12*M35</f>
        <v>8997.6600000000017</v>
      </c>
      <c r="N30" s="42">
        <f t="shared" ref="N30:W30" si="96">1.85*12*N35</f>
        <v>11299.800000000001</v>
      </c>
      <c r="O30" s="42">
        <f t="shared" si="96"/>
        <v>15793.080000000002</v>
      </c>
      <c r="P30" s="42">
        <f t="shared" si="96"/>
        <v>12187.800000000001</v>
      </c>
      <c r="Q30" s="42">
        <f t="shared" si="96"/>
        <v>12614.040000000003</v>
      </c>
      <c r="R30" s="42">
        <f t="shared" si="96"/>
        <v>12716.16</v>
      </c>
      <c r="S30" s="42">
        <f t="shared" si="96"/>
        <v>15220.320000000003</v>
      </c>
      <c r="T30" s="42">
        <f t="shared" si="96"/>
        <v>8911.08</v>
      </c>
      <c r="U30" s="42">
        <f t="shared" si="96"/>
        <v>15824.160000000002</v>
      </c>
      <c r="V30" s="42">
        <f t="shared" si="96"/>
        <v>11888.100000000002</v>
      </c>
      <c r="W30" s="42">
        <f t="shared" si="96"/>
        <v>11159.94</v>
      </c>
      <c r="X30" s="42">
        <f t="shared" ref="X30:Z30" si="97">1.85*12*X35</f>
        <v>11393.040000000003</v>
      </c>
      <c r="Y30" s="42">
        <f t="shared" si="97"/>
        <v>11397.480000000001</v>
      </c>
      <c r="Z30" s="42">
        <f t="shared" si="97"/>
        <v>11457.420000000002</v>
      </c>
      <c r="AA30" s="46" t="s">
        <v>5</v>
      </c>
      <c r="AB30" s="42">
        <v>1.2</v>
      </c>
      <c r="AC30" s="42">
        <f t="shared" ref="AC30:AF30" si="98">1.2*12*AC35</f>
        <v>6917.7599999999993</v>
      </c>
      <c r="AD30" s="42">
        <f t="shared" si="98"/>
        <v>5705.2799999999988</v>
      </c>
      <c r="AE30" s="42">
        <f t="shared" si="98"/>
        <v>10539.359999999999</v>
      </c>
      <c r="AF30" s="42">
        <f t="shared" si="98"/>
        <v>10281.599999999999</v>
      </c>
      <c r="AG30" s="46" t="s">
        <v>5</v>
      </c>
      <c r="AH30" s="42">
        <v>1.39</v>
      </c>
      <c r="AI30" s="42">
        <f>1.39*12*AI35</f>
        <v>9656.0519999999997</v>
      </c>
      <c r="AJ30" s="42">
        <f t="shared" ref="AJ30:AK30" si="99">1.39*12*AJ35</f>
        <v>9872.8919999999998</v>
      </c>
      <c r="AK30" s="42">
        <f t="shared" si="99"/>
        <v>8805.3719999999994</v>
      </c>
    </row>
    <row r="31" spans="1:37" s="1" customFormat="1" ht="24">
      <c r="A31" s="40" t="s">
        <v>37</v>
      </c>
      <c r="B31" s="40"/>
      <c r="C31" s="40"/>
      <c r="D31" s="40"/>
      <c r="E31" s="40"/>
      <c r="F31" s="40"/>
      <c r="G31" s="47" t="s">
        <v>45</v>
      </c>
      <c r="H31" s="42">
        <f>0.51+0.3+0.22+0.12+0.17+0.22</f>
        <v>1.5399999999999998</v>
      </c>
      <c r="I31" s="42">
        <f>1.54*12*I35</f>
        <v>12849.144</v>
      </c>
      <c r="J31" s="42">
        <f t="shared" ref="J31" si="100">1.54*12*J35</f>
        <v>12324.312</v>
      </c>
      <c r="K31" s="48" t="s">
        <v>45</v>
      </c>
      <c r="L31" s="42">
        <v>2.1199999999999997</v>
      </c>
      <c r="M31" s="42">
        <f>2.12*12*M35</f>
        <v>10310.832</v>
      </c>
      <c r="N31" s="42">
        <f t="shared" ref="N31:W31" si="101">2.12*12*N35</f>
        <v>12948.960000000001</v>
      </c>
      <c r="O31" s="42">
        <f t="shared" si="101"/>
        <v>18098.016</v>
      </c>
      <c r="P31" s="42">
        <f t="shared" si="101"/>
        <v>13966.560000000001</v>
      </c>
      <c r="Q31" s="42">
        <f t="shared" si="101"/>
        <v>14455.008000000002</v>
      </c>
      <c r="R31" s="42">
        <f t="shared" si="101"/>
        <v>14572.031999999999</v>
      </c>
      <c r="S31" s="42">
        <f t="shared" si="101"/>
        <v>17441.664000000001</v>
      </c>
      <c r="T31" s="42">
        <f t="shared" si="101"/>
        <v>10211.616</v>
      </c>
      <c r="U31" s="42">
        <f t="shared" si="101"/>
        <v>18133.632000000001</v>
      </c>
      <c r="V31" s="42">
        <f t="shared" si="101"/>
        <v>13623.12</v>
      </c>
      <c r="W31" s="42">
        <f t="shared" si="101"/>
        <v>12788.688</v>
      </c>
      <c r="X31" s="42">
        <f t="shared" ref="X31:Z31" si="102">2.12*12*X35</f>
        <v>13055.808000000003</v>
      </c>
      <c r="Y31" s="42">
        <f t="shared" si="102"/>
        <v>13060.896000000001</v>
      </c>
      <c r="Z31" s="42">
        <f t="shared" si="102"/>
        <v>13129.584000000001</v>
      </c>
      <c r="AA31" s="48" t="s">
        <v>45</v>
      </c>
      <c r="AB31" s="42">
        <v>1.1099999999999999</v>
      </c>
      <c r="AC31" s="42">
        <f t="shared" ref="AC31:AF31" si="103">1.11*12*AC35</f>
        <v>6398.9279999999999</v>
      </c>
      <c r="AD31" s="42">
        <f t="shared" si="103"/>
        <v>5277.384</v>
      </c>
      <c r="AE31" s="42">
        <f t="shared" si="103"/>
        <v>9748.9079999999994</v>
      </c>
      <c r="AF31" s="42">
        <f t="shared" si="103"/>
        <v>9510.48</v>
      </c>
      <c r="AG31" s="48" t="s">
        <v>45</v>
      </c>
      <c r="AH31" s="42">
        <v>1.57</v>
      </c>
      <c r="AI31" s="42">
        <f>1.57*12*AI35</f>
        <v>10906.475999999999</v>
      </c>
      <c r="AJ31" s="42">
        <f t="shared" ref="AJ31:AK31" si="104">1.57*12*AJ35</f>
        <v>11151.395999999999</v>
      </c>
      <c r="AK31" s="42">
        <f t="shared" si="104"/>
        <v>9945.6359999999986</v>
      </c>
    </row>
    <row r="32" spans="1:37" s="1" customFormat="1">
      <c r="A32" s="40" t="s">
        <v>51</v>
      </c>
      <c r="B32" s="40"/>
      <c r="C32" s="40"/>
      <c r="D32" s="40"/>
      <c r="E32" s="40"/>
      <c r="F32" s="40"/>
      <c r="G32" s="41" t="s">
        <v>4</v>
      </c>
      <c r="H32" s="42">
        <v>0.87</v>
      </c>
      <c r="I32" s="42">
        <f>0.87*12*I35</f>
        <v>7258.9319999999989</v>
      </c>
      <c r="J32" s="42">
        <f t="shared" ref="J32" si="105">0.87*12*J35</f>
        <v>6962.4359999999997</v>
      </c>
      <c r="K32" s="42" t="s">
        <v>4</v>
      </c>
      <c r="L32" s="42">
        <v>1.36</v>
      </c>
      <c r="M32" s="42">
        <f>1.36*12*M35</f>
        <v>6614.4960000000001</v>
      </c>
      <c r="N32" s="42">
        <f t="shared" ref="N32:W32" si="106">1.36*12*N35</f>
        <v>8306.880000000001</v>
      </c>
      <c r="O32" s="42">
        <f t="shared" si="106"/>
        <v>11610.048000000001</v>
      </c>
      <c r="P32" s="42">
        <f t="shared" si="106"/>
        <v>8959.68</v>
      </c>
      <c r="Q32" s="42">
        <f t="shared" si="106"/>
        <v>9273.0240000000013</v>
      </c>
      <c r="R32" s="42">
        <f t="shared" si="106"/>
        <v>9348.0959999999995</v>
      </c>
      <c r="S32" s="42">
        <f t="shared" si="106"/>
        <v>11188.992</v>
      </c>
      <c r="T32" s="42">
        <f t="shared" si="106"/>
        <v>6550.848</v>
      </c>
      <c r="U32" s="42">
        <f t="shared" si="106"/>
        <v>11632.895999999999</v>
      </c>
      <c r="V32" s="42">
        <f t="shared" si="106"/>
        <v>8739.36</v>
      </c>
      <c r="W32" s="42">
        <f t="shared" si="106"/>
        <v>8204.0640000000003</v>
      </c>
      <c r="X32" s="42">
        <f t="shared" ref="X32:Z32" si="107">1.36*12*X35</f>
        <v>8375.4240000000009</v>
      </c>
      <c r="Y32" s="42">
        <f t="shared" si="107"/>
        <v>8378.6880000000001</v>
      </c>
      <c r="Z32" s="42">
        <f t="shared" si="107"/>
        <v>8422.7520000000004</v>
      </c>
      <c r="AA32" s="42" t="s">
        <v>4</v>
      </c>
      <c r="AB32" s="42">
        <v>0.94</v>
      </c>
      <c r="AC32" s="42">
        <f t="shared" ref="AC32:AF32" si="108">0.94*12*AC35</f>
        <v>5418.9119999999994</v>
      </c>
      <c r="AD32" s="42">
        <f t="shared" si="108"/>
        <v>4469.1359999999995</v>
      </c>
      <c r="AE32" s="42">
        <f t="shared" si="108"/>
        <v>8255.8319999999985</v>
      </c>
      <c r="AF32" s="42">
        <f t="shared" si="108"/>
        <v>8053.9199999999992</v>
      </c>
      <c r="AG32" s="42" t="s">
        <v>4</v>
      </c>
      <c r="AH32" s="42">
        <v>1.1499999999999999</v>
      </c>
      <c r="AI32" s="42">
        <f>1.15*12*AI35</f>
        <v>7988.8199999999988</v>
      </c>
      <c r="AJ32" s="42">
        <f t="shared" ref="AJ32:AK32" si="109">1.15*12*AJ35</f>
        <v>8168.2199999999993</v>
      </c>
      <c r="AK32" s="42">
        <f t="shared" si="109"/>
        <v>7285.0199999999995</v>
      </c>
    </row>
    <row r="33" spans="1:45" s="1" customFormat="1">
      <c r="A33" s="40" t="s">
        <v>52</v>
      </c>
      <c r="B33" s="40"/>
      <c r="C33" s="40"/>
      <c r="D33" s="40"/>
      <c r="E33" s="40"/>
      <c r="F33" s="40"/>
      <c r="G33" s="41" t="s">
        <v>8</v>
      </c>
      <c r="H33" s="42">
        <v>0.71</v>
      </c>
      <c r="I33" s="42">
        <f>0.71*12*I35</f>
        <v>5923.9559999999992</v>
      </c>
      <c r="J33" s="42">
        <f t="shared" ref="J33" si="110">0.71*12*J35</f>
        <v>5681.9879999999994</v>
      </c>
      <c r="K33" s="42" t="s">
        <v>8</v>
      </c>
      <c r="L33" s="42">
        <v>0.43</v>
      </c>
      <c r="M33" s="42">
        <f>0.43*12*M35</f>
        <v>2091.348</v>
      </c>
      <c r="N33" s="42">
        <f t="shared" ref="N33:W33" si="111">0.43*12*N35</f>
        <v>2626.44</v>
      </c>
      <c r="O33" s="42">
        <f t="shared" si="111"/>
        <v>3670.8240000000001</v>
      </c>
      <c r="P33" s="42">
        <f t="shared" si="111"/>
        <v>2832.84</v>
      </c>
      <c r="Q33" s="42">
        <f t="shared" si="111"/>
        <v>2931.9120000000003</v>
      </c>
      <c r="R33" s="42">
        <f t="shared" si="111"/>
        <v>2955.6479999999997</v>
      </c>
      <c r="S33" s="42">
        <f t="shared" si="111"/>
        <v>3537.6960000000004</v>
      </c>
      <c r="T33" s="42">
        <f t="shared" si="111"/>
        <v>2071.2240000000002</v>
      </c>
      <c r="U33" s="42">
        <f t="shared" si="111"/>
        <v>3678.0479999999998</v>
      </c>
      <c r="V33" s="42">
        <f t="shared" si="111"/>
        <v>2763.1800000000003</v>
      </c>
      <c r="W33" s="42">
        <f t="shared" si="111"/>
        <v>2593.9319999999998</v>
      </c>
      <c r="X33" s="42">
        <f t="shared" ref="X33:Z33" si="112">0.43*12*X35</f>
        <v>2648.1120000000005</v>
      </c>
      <c r="Y33" s="42">
        <f t="shared" si="112"/>
        <v>2649.1439999999998</v>
      </c>
      <c r="Z33" s="42">
        <f t="shared" si="112"/>
        <v>2663.076</v>
      </c>
      <c r="AA33" s="42" t="s">
        <v>8</v>
      </c>
      <c r="AB33" s="42">
        <v>0.21</v>
      </c>
      <c r="AC33" s="42">
        <f t="shared" ref="AC33:AF33" si="113">0.21*12*AC35</f>
        <v>1210.6079999999999</v>
      </c>
      <c r="AD33" s="42">
        <f t="shared" si="113"/>
        <v>998.42399999999998</v>
      </c>
      <c r="AE33" s="42">
        <f t="shared" si="113"/>
        <v>1844.3879999999999</v>
      </c>
      <c r="AF33" s="42">
        <f t="shared" si="113"/>
        <v>1799.28</v>
      </c>
      <c r="AG33" s="42" t="s">
        <v>8</v>
      </c>
      <c r="AH33" s="42">
        <v>0.45</v>
      </c>
      <c r="AI33" s="42">
        <f>0.45*12*AI35</f>
        <v>3126.06</v>
      </c>
      <c r="AJ33" s="42">
        <f t="shared" ref="AJ33:AK33" si="114">0.45*12*AJ35</f>
        <v>3196.26</v>
      </c>
      <c r="AK33" s="42">
        <f t="shared" si="114"/>
        <v>2850.66</v>
      </c>
    </row>
    <row r="34" spans="1:45" s="1" customFormat="1">
      <c r="A34" s="50" t="s">
        <v>2</v>
      </c>
      <c r="B34" s="50"/>
      <c r="C34" s="50"/>
      <c r="D34" s="50"/>
      <c r="E34" s="50"/>
      <c r="F34" s="50"/>
      <c r="G34" s="51"/>
      <c r="H34" s="52"/>
      <c r="I34" s="53">
        <f>I14+I22+I28</f>
        <v>152270.69999999998</v>
      </c>
      <c r="J34" s="53">
        <f t="shared" ref="J34" si="115">J14+J22+J28</f>
        <v>146051.09999999998</v>
      </c>
      <c r="K34" s="52"/>
      <c r="L34" s="42"/>
      <c r="M34" s="53">
        <f>M14+M22+M28</f>
        <v>105491.484</v>
      </c>
      <c r="N34" s="53">
        <f t="shared" ref="N34:W34" si="116">N14+N22+N28</f>
        <v>132482.52000000002</v>
      </c>
      <c r="O34" s="53">
        <f t="shared" si="116"/>
        <v>185163.19200000001</v>
      </c>
      <c r="P34" s="53">
        <f t="shared" si="116"/>
        <v>142893.72</v>
      </c>
      <c r="Q34" s="53">
        <f t="shared" si="116"/>
        <v>147891.09600000002</v>
      </c>
      <c r="R34" s="53">
        <f t="shared" si="116"/>
        <v>149088.38399999996</v>
      </c>
      <c r="S34" s="53">
        <f t="shared" si="116"/>
        <v>178447.96800000002</v>
      </c>
      <c r="T34" s="53">
        <f t="shared" si="116"/>
        <v>104476.39199999999</v>
      </c>
      <c r="U34" s="53">
        <f t="shared" si="116"/>
        <v>185527.584</v>
      </c>
      <c r="V34" s="53">
        <f t="shared" si="116"/>
        <v>139379.94</v>
      </c>
      <c r="W34" s="53">
        <f t="shared" si="116"/>
        <v>130842.75599999999</v>
      </c>
      <c r="X34" s="53">
        <f t="shared" ref="X34:Z34" si="117">X14+X22+X28</f>
        <v>133575.69600000003</v>
      </c>
      <c r="Y34" s="53">
        <f t="shared" si="117"/>
        <v>133627.75199999998</v>
      </c>
      <c r="Z34" s="53">
        <f t="shared" si="117"/>
        <v>134330.50800000003</v>
      </c>
      <c r="AA34" s="52"/>
      <c r="AB34" s="49"/>
      <c r="AC34" s="53">
        <f t="shared" ref="AC34:AK34" si="118">AC14+AC22+AC28</f>
        <v>125211.45600000001</v>
      </c>
      <c r="AD34" s="53">
        <f t="shared" si="118"/>
        <v>103265.568</v>
      </c>
      <c r="AE34" s="53">
        <f t="shared" si="118"/>
        <v>190762.41599999997</v>
      </c>
      <c r="AF34" s="53">
        <f t="shared" si="118"/>
        <v>186096.96000000002</v>
      </c>
      <c r="AG34" s="52"/>
      <c r="AH34" s="49"/>
      <c r="AI34" s="53">
        <f t="shared" si="118"/>
        <v>118859.74799999999</v>
      </c>
      <c r="AJ34" s="53">
        <f t="shared" si="118"/>
        <v>121528.908</v>
      </c>
      <c r="AK34" s="53">
        <f t="shared" si="118"/>
        <v>108388.42799999999</v>
      </c>
      <c r="AL34" s="18">
        <f>SUM(I34:AK34)</f>
        <v>3255654.2759999996</v>
      </c>
      <c r="AM34" s="1">
        <f>AL34/12*0.05</f>
        <v>13565.22615</v>
      </c>
    </row>
    <row r="35" spans="1:45" s="17" customFormat="1">
      <c r="A35" s="50" t="s">
        <v>1</v>
      </c>
      <c r="B35" s="50"/>
      <c r="C35" s="50"/>
      <c r="D35" s="50"/>
      <c r="E35" s="50"/>
      <c r="F35" s="50"/>
      <c r="G35" s="51"/>
      <c r="H35" s="53"/>
      <c r="I35" s="54" t="s">
        <v>87</v>
      </c>
      <c r="J35" s="54" t="s">
        <v>88</v>
      </c>
      <c r="K35" s="49"/>
      <c r="L35" s="53"/>
      <c r="M35" s="54" t="s">
        <v>89</v>
      </c>
      <c r="N35" s="54" t="s">
        <v>90</v>
      </c>
      <c r="O35" s="54" t="s">
        <v>91</v>
      </c>
      <c r="P35" s="54" t="s">
        <v>92</v>
      </c>
      <c r="Q35" s="54" t="s">
        <v>93</v>
      </c>
      <c r="R35" s="54" t="s">
        <v>94</v>
      </c>
      <c r="S35" s="54" t="s">
        <v>95</v>
      </c>
      <c r="T35" s="54" t="s">
        <v>96</v>
      </c>
      <c r="U35" s="54" t="s">
        <v>97</v>
      </c>
      <c r="V35" s="54" t="s">
        <v>98</v>
      </c>
      <c r="W35" s="54" t="s">
        <v>99</v>
      </c>
      <c r="X35" s="54" t="s">
        <v>100</v>
      </c>
      <c r="Y35" s="54" t="s">
        <v>66</v>
      </c>
      <c r="Z35" s="54" t="s">
        <v>101</v>
      </c>
      <c r="AA35" s="49"/>
      <c r="AB35" s="49"/>
      <c r="AC35" s="54" t="s">
        <v>102</v>
      </c>
      <c r="AD35" s="54" t="s">
        <v>103</v>
      </c>
      <c r="AE35" s="54" t="s">
        <v>104</v>
      </c>
      <c r="AF35" s="54" t="s">
        <v>105</v>
      </c>
      <c r="AG35" s="49"/>
      <c r="AH35" s="49"/>
      <c r="AI35" s="54" t="s">
        <v>106</v>
      </c>
      <c r="AJ35" s="54" t="s">
        <v>107</v>
      </c>
      <c r="AK35" s="54" t="s">
        <v>108</v>
      </c>
    </row>
    <row r="36" spans="1:45" s="2" customFormat="1" ht="25.5" customHeight="1">
      <c r="A36" s="55" t="s">
        <v>50</v>
      </c>
      <c r="B36" s="55"/>
      <c r="C36" s="55"/>
      <c r="D36" s="55"/>
      <c r="E36" s="55"/>
      <c r="F36" s="55"/>
      <c r="G36" s="56"/>
      <c r="H36" s="53">
        <f>H14+H22+H28</f>
        <v>18.249999999999996</v>
      </c>
      <c r="I36" s="53">
        <f>I34 /12/I35</f>
        <v>18.25</v>
      </c>
      <c r="J36" s="53">
        <f t="shared" ref="J36" si="119">J34 /12/J35</f>
        <v>18.249999999999996</v>
      </c>
      <c r="K36" s="53"/>
      <c r="L36" s="53">
        <v>21.689999999999998</v>
      </c>
      <c r="M36" s="53">
        <f>M34/12/M35</f>
        <v>21.69</v>
      </c>
      <c r="N36" s="53">
        <f t="shared" ref="N36:W36" si="120">N34/12/N35</f>
        <v>21.69</v>
      </c>
      <c r="O36" s="53">
        <f t="shared" si="120"/>
        <v>21.69</v>
      </c>
      <c r="P36" s="53">
        <f t="shared" si="120"/>
        <v>21.689999999999998</v>
      </c>
      <c r="Q36" s="53">
        <f t="shared" si="120"/>
        <v>21.69</v>
      </c>
      <c r="R36" s="53">
        <f t="shared" si="120"/>
        <v>21.689999999999998</v>
      </c>
      <c r="S36" s="53">
        <f t="shared" si="120"/>
        <v>21.69</v>
      </c>
      <c r="T36" s="53">
        <f t="shared" si="120"/>
        <v>21.69</v>
      </c>
      <c r="U36" s="53">
        <f t="shared" si="120"/>
        <v>21.69</v>
      </c>
      <c r="V36" s="53">
        <f t="shared" si="120"/>
        <v>21.69</v>
      </c>
      <c r="W36" s="53">
        <f t="shared" si="120"/>
        <v>21.69</v>
      </c>
      <c r="X36" s="53">
        <f t="shared" ref="X36:Z36" si="121">X34/12/X35</f>
        <v>21.690000000000005</v>
      </c>
      <c r="Y36" s="53">
        <f t="shared" si="121"/>
        <v>21.689999999999998</v>
      </c>
      <c r="Z36" s="53">
        <f t="shared" si="121"/>
        <v>21.690000000000005</v>
      </c>
      <c r="AA36" s="53"/>
      <c r="AB36" s="53">
        <v>21.72</v>
      </c>
      <c r="AC36" s="53">
        <f t="shared" ref="AC36:AK36" si="122">AC34/12/AC35</f>
        <v>21.720000000000002</v>
      </c>
      <c r="AD36" s="53">
        <f t="shared" si="122"/>
        <v>21.72</v>
      </c>
      <c r="AE36" s="53">
        <f t="shared" si="122"/>
        <v>21.719999999999995</v>
      </c>
      <c r="AF36" s="53">
        <f t="shared" si="122"/>
        <v>21.720000000000002</v>
      </c>
      <c r="AG36" s="53"/>
      <c r="AH36" s="53">
        <v>17.11</v>
      </c>
      <c r="AI36" s="53">
        <f t="shared" si="122"/>
        <v>17.11</v>
      </c>
      <c r="AJ36" s="53">
        <f t="shared" si="122"/>
        <v>17.11</v>
      </c>
      <c r="AK36" s="53">
        <f t="shared" si="122"/>
        <v>17.11</v>
      </c>
    </row>
    <row r="37" spans="1:45" s="1" customFormat="1" ht="12.75" customHeight="1">
      <c r="A37" s="6"/>
      <c r="B37" s="6"/>
      <c r="C37" s="6"/>
      <c r="D37" s="6"/>
      <c r="E37" s="6"/>
      <c r="F37" s="6"/>
      <c r="G37" s="6"/>
      <c r="H37" s="7"/>
      <c r="I37" s="7"/>
      <c r="J37" s="7"/>
      <c r="K37" s="6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8"/>
      <c r="X37" s="9"/>
      <c r="Y37" s="9"/>
      <c r="Z37" s="8"/>
      <c r="AA37" s="6"/>
      <c r="AB37" s="8"/>
      <c r="AC37" s="8"/>
      <c r="AD37" s="8"/>
      <c r="AE37" s="8"/>
      <c r="AF37" s="8"/>
      <c r="AG37" s="6"/>
      <c r="AH37" s="8"/>
      <c r="AI37" s="8"/>
      <c r="AJ37" s="8"/>
      <c r="AK37" s="8"/>
    </row>
    <row r="38" spans="1:45" s="1" customFormat="1" ht="12.75" hidden="1" customHeight="1">
      <c r="A38" s="6"/>
      <c r="B38" s="6"/>
      <c r="C38" s="6"/>
      <c r="D38" s="6"/>
      <c r="E38" s="6"/>
      <c r="F38" s="6"/>
      <c r="G38" s="6"/>
      <c r="H38" s="7"/>
      <c r="I38" s="7"/>
      <c r="J38" s="7"/>
      <c r="K38" s="6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8"/>
      <c r="X38" s="9"/>
      <c r="Y38" s="9"/>
      <c r="Z38" s="8"/>
      <c r="AA38" s="6"/>
      <c r="AB38" s="8"/>
      <c r="AC38" s="8"/>
      <c r="AD38" s="8"/>
      <c r="AE38" s="8"/>
      <c r="AF38" s="8"/>
      <c r="AG38" s="6"/>
      <c r="AH38" s="8"/>
      <c r="AI38" s="8"/>
      <c r="AJ38" s="8"/>
      <c r="AK38" s="8"/>
    </row>
    <row r="39" spans="1:45" s="1" customFormat="1">
      <c r="A39" s="6"/>
      <c r="B39" s="6"/>
      <c r="C39" s="6"/>
      <c r="D39" s="6"/>
      <c r="E39" s="6"/>
      <c r="F39" s="6"/>
      <c r="G39" s="6"/>
      <c r="H39" s="7"/>
      <c r="I39" s="7"/>
      <c r="J39" s="7"/>
      <c r="K39" s="6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6"/>
      <c r="X39" s="9"/>
      <c r="Y39" s="9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R39"/>
      <c r="AS39"/>
    </row>
    <row r="40" spans="1:45" s="1" customFormat="1">
      <c r="A40" s="6"/>
      <c r="B40" s="6"/>
      <c r="C40" s="6"/>
      <c r="D40" s="6"/>
      <c r="E40" s="6"/>
      <c r="F40" s="6"/>
      <c r="G40" s="6"/>
      <c r="H40" s="7"/>
      <c r="I40" s="7"/>
      <c r="J40" s="7"/>
      <c r="K40" s="6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6"/>
      <c r="X40" s="9"/>
      <c r="Y40" s="9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R40"/>
      <c r="AS40"/>
    </row>
    <row r="41" spans="1:45" s="1" customFormat="1">
      <c r="A41" s="6" t="s">
        <v>0</v>
      </c>
      <c r="B41" s="6">
        <v>12</v>
      </c>
      <c r="C41" s="6"/>
      <c r="D41" s="6"/>
      <c r="E41" s="6"/>
      <c r="F41" s="6"/>
      <c r="G41" s="6"/>
      <c r="H41" s="7"/>
      <c r="I41" s="7"/>
      <c r="J41" s="7"/>
      <c r="K41" s="6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6"/>
      <c r="X41" s="9"/>
      <c r="Y41" s="9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</row>
    <row r="42" spans="1:45" s="1" customFormat="1">
      <c r="A42" s="6"/>
      <c r="B42" s="6"/>
      <c r="C42" s="6"/>
      <c r="D42" s="6"/>
      <c r="E42" s="6"/>
      <c r="F42" s="6"/>
      <c r="G42" s="6"/>
      <c r="H42" s="7"/>
      <c r="I42" s="7"/>
      <c r="J42" s="7"/>
      <c r="K42" s="6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6"/>
      <c r="X42" s="9"/>
      <c r="Y42" s="9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R42"/>
      <c r="AS42"/>
    </row>
  </sheetData>
  <mergeCells count="41">
    <mergeCell ref="A27:F27"/>
    <mergeCell ref="A24:F24"/>
    <mergeCell ref="A16:F16"/>
    <mergeCell ref="A17:F17"/>
    <mergeCell ref="A18:F18"/>
    <mergeCell ref="A19:F19"/>
    <mergeCell ref="A20:F20"/>
    <mergeCell ref="A21:F21"/>
    <mergeCell ref="A22:F22"/>
    <mergeCell ref="A23:F23"/>
    <mergeCell ref="A25:F25"/>
    <mergeCell ref="A35:F35"/>
    <mergeCell ref="A36:F36"/>
    <mergeCell ref="A28:F28"/>
    <mergeCell ref="A29:F29"/>
    <mergeCell ref="A30:F30"/>
    <mergeCell ref="A33:F33"/>
    <mergeCell ref="A31:F31"/>
    <mergeCell ref="A32:F32"/>
    <mergeCell ref="A34:F34"/>
    <mergeCell ref="A1:G1"/>
    <mergeCell ref="A2:G2"/>
    <mergeCell ref="A3:G3"/>
    <mergeCell ref="A4:G4"/>
    <mergeCell ref="A9:F9"/>
    <mergeCell ref="A6:F8"/>
    <mergeCell ref="G7:G8"/>
    <mergeCell ref="AB7:AB8"/>
    <mergeCell ref="A26:F26"/>
    <mergeCell ref="AG7:AG8"/>
    <mergeCell ref="AH7:AH8"/>
    <mergeCell ref="A15:F15"/>
    <mergeCell ref="A10:F10"/>
    <mergeCell ref="A11:F11"/>
    <mergeCell ref="A12:F12"/>
    <mergeCell ref="A13:F13"/>
    <mergeCell ref="A14:F14"/>
    <mergeCell ref="L7:L8"/>
    <mergeCell ref="AA7:AA8"/>
    <mergeCell ref="H7:H8"/>
    <mergeCell ref="K7:K8"/>
  </mergeCells>
  <pageMargins left="0.23622047244094491" right="0.11811023622047245" top="0.23622047244094491" bottom="0.19685039370078741" header="0.31496062992125984" footer="0.31496062992125984"/>
  <pageSetup paperSize="9" scale="51" firstPageNumber="0" orientation="landscape" r:id="rId1"/>
  <headerFooter alignWithMargins="0"/>
  <colBreaks count="1" manualBreakCount="1">
    <brk id="2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лот1</vt:lpstr>
      <vt:lpstr>Лист1</vt:lpstr>
      <vt:lpstr>лот1!Заголовки_для_печати</vt:lpstr>
      <vt:lpstr>лот1!Область_печати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Галина Александровна Шевченко</dc:creator>
  <cp:lastModifiedBy>alekseevaiv2</cp:lastModifiedBy>
  <cp:lastPrinted>2015-10-01T08:20:31Z</cp:lastPrinted>
  <dcterms:created xsi:type="dcterms:W3CDTF">2013-04-24T10:34:01Z</dcterms:created>
  <dcterms:modified xsi:type="dcterms:W3CDTF">2015-10-01T08:22:27Z</dcterms:modified>
</cp:coreProperties>
</file>