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<sst xmlns="http://schemas.openxmlformats.org/spreadsheetml/2006/main" count="5563" uniqueCount="672">
  <si>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</si>
  <si>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</si>
  <si>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</si>
  <si>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</si>
  <si>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</si>
  <si>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</si>
  <si>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</si>
  <si>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</si>
  <si>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</si>
  <si>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</si>
  <si>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</si>
  <si>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</si>
  <si>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</si>
  <si>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</si>
  <si>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</si>
  <si>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</si>
  <si>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</si>
  <si>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</si>
  <si>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</si>
  <si>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</si>
  <si>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</si>
  <si>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Реализация государственных функций в области национальной экономики</t>
  </si>
  <si>
    <t>340 00 00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</si>
  <si>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</si>
  <si>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</si>
  <si>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</si>
  <si>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</si>
  <si>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 xml:space="preserve">340 07 02 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</si>
  <si>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</si>
  <si>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</si>
  <si>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</si>
  <si>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</si>
  <si>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510 00 00</t>
  </si>
  <si>
    <t>510 03 00</t>
  </si>
  <si>
    <t>522 39 00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</si>
  <si>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</si>
  <si>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</si>
  <si>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</si>
  <si>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</si>
  <si>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</si>
  <si>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</si>
  <si>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</si>
  <si>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</si>
  <si>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</si>
  <si>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</si>
  <si>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</si>
  <si>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</si>
  <si>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</si>
  <si>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</si>
  <si>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</si>
  <si>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</si>
  <si>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</si>
  <si>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</si>
  <si>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</si>
  <si>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</si>
  <si>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</si>
  <si>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</si>
  <si>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</si>
  <si>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</si>
  <si>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</si>
  <si>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>от 25.05.2010 № 103</t>
  </si>
  <si>
    <t xml:space="preserve">Расходы общепрограммного характера городской целевой программы "Семья и дети Архангельска (2007-2009 годы)" 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</si>
  <si>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</si>
  <si>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</si>
  <si>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</si>
  <si>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</si>
  <si>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</si>
  <si>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</si>
  <si>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</si>
  <si>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</si>
  <si>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</si>
  <si>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</si>
  <si>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</si>
  <si>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</si>
  <si>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</si>
  <si>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</si>
  <si>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</si>
  <si>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</si>
  <si>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</si>
  <si>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</si>
  <si>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</si>
  <si>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</si>
  <si>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</si>
  <si>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</si>
  <si>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</si>
  <si>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</si>
  <si>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</si>
  <si>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</si>
  <si>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</si>
  <si>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</si>
  <si>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</si>
  <si>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</si>
  <si>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</si>
  <si>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</si>
  <si>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</si>
  <si>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</si>
  <si>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</si>
  <si>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</si>
  <si>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</si>
  <si>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</si>
  <si>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</si>
  <si>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</si>
  <si>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</si>
  <si>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</si>
  <si>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</si>
  <si>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</si>
  <si>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</si>
  <si>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</si>
  <si>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</si>
  <si>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</si>
  <si>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</si>
  <si>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</si>
  <si>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</si>
  <si>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</si>
  <si>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</si>
  <si>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</si>
  <si>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</si>
  <si>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</si>
  <si>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>Процент исполнения к уточнен. бюджетной росписи,     %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</si>
  <si>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</si>
  <si>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</si>
  <si>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</si>
  <si>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</si>
  <si>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</si>
  <si>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</si>
  <si>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>Отдельные мероприятия в области автомобильного транспорта</t>
  </si>
  <si>
    <t>303 02 00</t>
  </si>
  <si>
    <t>Приобретение передвижных резервных источников снабжения электрической энергией за счет средств городского бюджета</t>
  </si>
  <si>
    <t>351 13 00</t>
  </si>
  <si>
    <t>__________________________________________________</t>
  </si>
  <si>
    <t>351 14 00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</si>
  <si>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 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</si>
  <si>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</si>
  <si>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</si>
  <si>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</si>
  <si>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</si>
  <si>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</si>
  <si>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</si>
  <si>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</si>
  <si>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</si>
  <si>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</si>
  <si>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</si>
  <si>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</si>
  <si>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</si>
  <si>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</si>
  <si>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</si>
  <si>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</si>
  <si>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</si>
  <si>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</si>
  <si>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</si>
  <si>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810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</si>
  <si>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</si>
  <si>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</si>
  <si>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Утверждено по бюджету,                                                        тыс. рублей</t>
  </si>
  <si>
    <t>Уточненная бюджетная роспись, тыс. рублей</t>
  </si>
  <si>
    <t>Исполнено, тыс. рублей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</si>
  <si>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</si>
  <si>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</si>
  <si>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</si>
  <si>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</si>
  <si>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</si>
  <si>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</si>
  <si>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Приобретение передвижных резервных источников снабжения электрической энергией</t>
  </si>
  <si>
    <t>551 01 15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</si>
  <si>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</si>
  <si>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</si>
  <si>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</si>
  <si>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</si>
  <si>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</si>
  <si>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</si>
  <si>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</si>
  <si>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</si>
  <si>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</si>
  <si>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>Резервные фонды  исполнительных органов государственной власти субъектов Российской Федерации</t>
  </si>
  <si>
    <t xml:space="preserve">070 00 00 </t>
  </si>
  <si>
    <t>070 04 00</t>
  </si>
  <si>
    <t>070 04 01</t>
  </si>
  <si>
    <t xml:space="preserve">Взнос в уставный фонд МУП "Архангельское предприятие автобусных перевозок - 1" в целях создания предприятия </t>
  </si>
  <si>
    <t>Взнос в уставный фонд МУП "Архангельское предприятие автобусных перевозок - 2" в целях создания предприятия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</si>
  <si>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</si>
  <si>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</si>
  <si>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</si>
  <si>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</si>
  <si>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</si>
  <si>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</si>
  <si>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</si>
  <si>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</si>
  <si>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</si>
  <si>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</si>
  <si>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</si>
  <si>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</si>
  <si>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</si>
  <si>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</si>
  <si>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</si>
  <si>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</si>
  <si>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</si>
  <si>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</si>
  <si>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</si>
  <si>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</si>
  <si>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</si>
  <si>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</si>
  <si>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</si>
  <si>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</si>
  <si>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</si>
  <si>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</si>
  <si>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</si>
  <si>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</si>
  <si>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</si>
  <si>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</si>
  <si>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</si>
  <si>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</si>
  <si>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</si>
  <si>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</si>
  <si>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</si>
  <si>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</si>
  <si>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</si>
  <si>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</si>
  <si>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</si>
  <si>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</si>
  <si>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</si>
  <si>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</si>
  <si>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</si>
  <si>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</si>
  <si>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</si>
  <si>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</si>
  <si>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</si>
  <si>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</si>
  <si>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</si>
  <si>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</si>
  <si>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</si>
  <si>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</si>
  <si>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</si>
  <si>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</si>
  <si>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</si>
  <si>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</si>
  <si>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</si>
  <si>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</si>
  <si>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</si>
  <si>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</si>
  <si>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</si>
  <si>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</si>
  <si>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</si>
  <si>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</si>
  <si>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</si>
  <si>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</si>
  <si>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</si>
  <si>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</si>
  <si>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</si>
  <si>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</si>
  <si>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</si>
  <si>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</si>
  <si>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</si>
  <si>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</si>
  <si>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</si>
  <si>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</si>
  <si>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</si>
  <si>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</si>
  <si>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</si>
  <si>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</si>
  <si>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</si>
  <si>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</si>
  <si>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</si>
  <si>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</si>
  <si>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</si>
  <si>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</si>
  <si>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</si>
  <si>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</si>
  <si>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</si>
  <si>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</si>
  <si>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</si>
  <si>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</si>
  <si>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</si>
  <si>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</si>
  <si>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</si>
  <si>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</si>
  <si>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</si>
  <si>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</si>
  <si>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</si>
  <si>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</si>
  <si>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</si>
  <si>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</si>
  <si>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</si>
  <si>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</si>
  <si>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802</t>
  </si>
  <si>
    <t>803</t>
  </si>
  <si>
    <t>804</t>
  </si>
  <si>
    <t>805</t>
  </si>
  <si>
    <t>806</t>
  </si>
  <si>
    <t>807</t>
  </si>
  <si>
    <t>808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</si>
  <si>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</si>
  <si>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</si>
  <si>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</si>
  <si>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</si>
  <si>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</si>
  <si>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</si>
  <si>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</si>
  <si>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</si>
  <si>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</si>
  <si>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</si>
  <si>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</si>
  <si>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</si>
  <si>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</si>
  <si>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</si>
  <si>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</si>
  <si>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</si>
  <si>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</si>
  <si>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</si>
  <si>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</si>
  <si>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</si>
  <si>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</si>
  <si>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</si>
  <si>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</si>
  <si>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</si>
  <si>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</si>
  <si>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</si>
  <si>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</si>
  <si>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</si>
  <si>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</si>
  <si>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</si>
  <si>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>городского Совета депутатов</t>
  </si>
  <si>
    <t>к решению Архангельского</t>
  </si>
  <si>
    <t>ПРИЛОЖЕНИЕ № 6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</si>
  <si>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</si>
  <si>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</si>
  <si>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</si>
  <si>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</si>
  <si>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</si>
  <si>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</si>
  <si>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</si>
  <si>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</si>
  <si>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</si>
  <si>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</si>
  <si>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</si>
  <si>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</si>
  <si>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</si>
  <si>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</si>
  <si>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</si>
  <si>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</si>
  <si>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</si>
  <si>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</si>
  <si>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</si>
  <si>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</si>
  <si>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</si>
  <si>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</si>
  <si>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</si>
  <si>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</si>
  <si>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</si>
  <si>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</si>
  <si>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</si>
  <si>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</si>
  <si>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</si>
  <si>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</si>
  <si>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</si>
  <si>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</si>
  <si>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</si>
  <si>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</si>
  <si>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</si>
  <si>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</si>
  <si>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</si>
  <si>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</si>
  <si>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</si>
  <si>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</si>
  <si>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</si>
  <si>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</si>
  <si>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</si>
  <si>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</si>
  <si>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</si>
  <si>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</si>
  <si>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</si>
  <si>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</si>
  <si>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</si>
  <si>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</si>
  <si>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</si>
  <si>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</si>
  <si>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</si>
  <si>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</si>
  <si>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</si>
  <si>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</si>
  <si>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</si>
  <si>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</si>
  <si>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</si>
  <si>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</si>
  <si>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</si>
  <si>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</si>
  <si>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</si>
  <si>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</si>
  <si>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</si>
  <si>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</si>
  <si>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</si>
  <si>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</si>
  <si>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</si>
  <si>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</si>
  <si>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</si>
  <si>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</si>
  <si>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</si>
  <si>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</si>
  <si>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</si>
  <si>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</si>
  <si>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</si>
  <si>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</si>
  <si>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</si>
  <si>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>Ведомственная структура расходов городского бюджета за 2009 год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</si>
  <si>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</si>
  <si>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</si>
  <si>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</si>
  <si>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</si>
  <si>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</si>
  <si>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</si>
  <si>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</si>
  <si>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</si>
  <si>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</si>
  <si>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</si>
  <si>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</si>
  <si>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</si>
  <si>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</si>
  <si>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</si>
  <si>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</si>
  <si>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</si>
  <si>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</si>
  <si>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</si>
  <si>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</si>
  <si>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</si>
  <si>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</si>
  <si>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</si>
  <si>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</si>
  <si>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</si>
  <si>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</si>
  <si>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</si>
  <si>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</si>
  <si>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</si>
  <si>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</si>
  <si>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</si>
  <si>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</si>
  <si>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</si>
  <si>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</si>
  <si>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</si>
  <si>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</si>
  <si>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</si>
  <si>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</si>
  <si>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</si>
  <si>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</si>
  <si>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</si>
  <si>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</si>
  <si>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</si>
  <si>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</si>
  <si>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</si>
  <si>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</si>
  <si>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</si>
  <si>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</si>
  <si>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</si>
  <si>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</si>
  <si>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</si>
  <si>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</si>
  <si>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</si>
  <si>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</si>
  <si>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</si>
  <si>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</si>
  <si>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</si>
  <si>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</si>
  <si>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</si>
  <si>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</si>
  <si>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</si>
  <si>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</si>
  <si>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</si>
  <si>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</si>
  <si>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</si>
  <si>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</si>
  <si>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</si>
  <si>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</si>
  <si>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</si>
  <si>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</si>
  <si>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</si>
  <si>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</si>
  <si>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</si>
  <si>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</si>
  <si>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</si>
  <si>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</si>
  <si>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</si>
  <si>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</si>
  <si>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</si>
  <si>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</si>
  <si>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</si>
  <si>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</si>
  <si>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</si>
  <si>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</si>
  <si>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</si>
  <si>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</si>
  <si>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</si>
  <si>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</si>
  <si>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</si>
  <si>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</si>
  <si>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</si>
  <si>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</si>
  <si>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</si>
  <si>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</si>
  <si>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</si>
  <si>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</si>
  <si>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</si>
  <si>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</si>
  <si>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</si>
  <si>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</si>
  <si>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</si>
  <si>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</si>
  <si>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</si>
  <si>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</si>
  <si>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</si>
  <si>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</si>
  <si>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</si>
  <si>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</si>
  <si>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</si>
  <si>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</si>
  <si>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</si>
  <si>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</si>
  <si>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</si>
  <si>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</si>
  <si>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</si>
  <si>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</si>
  <si>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</si>
  <si>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</si>
  <si>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</si>
  <si>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</si>
  <si>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</si>
  <si>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</si>
  <si>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</si>
  <si>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</si>
  <si>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</si>
  <si>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</si>
  <si>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</si>
  <si>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</si>
  <si>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</si>
  <si>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</si>
  <si>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</si>
  <si>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</si>
  <si>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</si>
  <si>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</si>
  <si>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</si>
  <si>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</si>
  <si>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</si>
  <si>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</si>
  <si>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</si>
  <si>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</si>
  <si>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</si>
  <si>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</si>
  <si>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</si>
  <si>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</si>
  <si>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</si>
  <si>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</si>
  <si>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</si>
  <si>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</si>
  <si>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</si>
  <si>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</si>
  <si>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</si>
  <si>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</si>
  <si>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</si>
  <si>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</si>
  <si>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</si>
  <si>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</si>
  <si>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</si>
  <si>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</si>
  <si>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</si>
  <si>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</si>
  <si>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</si>
  <si>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</si>
  <si>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</si>
  <si>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</si>
  <si>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</si>
  <si>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</si>
  <si>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</si>
  <si>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</si>
  <si>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</si>
  <si>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</si>
  <si>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</si>
  <si>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818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</si>
  <si>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</si>
  <si>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</si>
  <si>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</si>
  <si>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</si>
  <si>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</si>
  <si>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</si>
  <si>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</si>
  <si>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</si>
  <si>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</si>
  <si>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</si>
  <si>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</si>
  <si>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</si>
  <si>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</si>
  <si>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</si>
  <si>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</si>
  <si>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</si>
  <si>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</si>
  <si>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</si>
  <si>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</si>
  <si>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</si>
  <si>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</si>
  <si>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</si>
  <si>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</si>
  <si>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</si>
  <si>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</si>
  <si>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</si>
  <si>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</si>
  <si>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</si>
  <si>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</si>
  <si>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</si>
  <si>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</si>
  <si>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</si>
  <si>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</si>
  <si>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</si>
  <si>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</si>
  <si>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</si>
  <si>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</si>
  <si>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</si>
  <si>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</si>
  <si>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</si>
  <si>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</si>
  <si>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</si>
  <si>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</si>
  <si>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</si>
  <si>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</si>
  <si>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</si>
  <si>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>Хранение самовольно установленных временных объектов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</si>
  <si>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</si>
  <si>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</si>
  <si>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</si>
  <si>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</si>
  <si>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</si>
  <si>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</si>
  <si>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</si>
  <si>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</si>
  <si>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</si>
  <si>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</si>
  <si>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</si>
  <si>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</si>
  <si>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</si>
  <si>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</si>
  <si>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</si>
  <si>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</si>
  <si>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</si>
  <si>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</si>
  <si>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</si>
  <si>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</si>
  <si>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</si>
  <si>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</si>
  <si>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</si>
  <si>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</si>
  <si>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</si>
  <si>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</si>
  <si>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</si>
  <si>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</si>
  <si>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</si>
  <si>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</si>
  <si>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</si>
  <si>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</si>
  <si>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</si>
  <si>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</si>
  <si>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</si>
  <si>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</si>
  <si>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600 06 00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</si>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</sst>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49" fontId="1" fillId="0" borderId="3" xfId="0" applyNumberFormat="1" applyFont="1" applyFill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1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168" fontId="1" fillId="0" borderId="2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4" fillId="0" borderId="2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6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65.25390625" style="1" customWidth="1"/>
    <col min="2" max="2" width="5.625" style="93" customWidth="1"/>
    <col min="3" max="3" width="3.875" style="94" customWidth="1"/>
    <col min="4" max="4" width="4.25390625" style="94" customWidth="1"/>
    <col min="5" max="5" width="9.875" style="95" customWidth="1"/>
    <col min="6" max="6" width="4.125" style="94" customWidth="1"/>
    <col min="7" max="7" width="10.75390625" style="2" hidden="1" customWidth="1"/>
    <col min="8" max="8" width="10.75390625" style="0" hidden="1" customWidth="1"/>
    <col min="9" max="9" width="10.75390625" style="0" customWidth="1"/>
    <col min="10" max="10" width="10.75390625" style="0" hidden="1" customWidth="1"/>
  </cols>
  <sheetData>
    <row r="1" spans="1:10" ht="15.75">
      <c r="A1" s="108"/>
      <c r="B1" s="111" t="s">
        <v>322</v>
      </c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108"/>
      <c r="B2" s="105"/>
      <c r="C2" s="106"/>
      <c r="D2" s="106"/>
      <c r="E2" s="105"/>
      <c r="F2" s="106"/>
      <c r="H2" s="114"/>
      <c r="I2" s="114"/>
      <c r="J2" s="114"/>
    </row>
    <row r="3" spans="1:10" ht="15.75">
      <c r="A3" s="108"/>
      <c r="B3" s="114" t="s">
        <v>321</v>
      </c>
      <c r="C3" s="127"/>
      <c r="D3" s="127"/>
      <c r="E3" s="127"/>
      <c r="F3" s="127"/>
      <c r="G3" s="127"/>
      <c r="H3" s="127"/>
      <c r="I3" s="127"/>
      <c r="J3" s="105"/>
    </row>
    <row r="4" spans="1:10" ht="15.75">
      <c r="A4" s="108"/>
      <c r="B4" s="114" t="s">
        <v>320</v>
      </c>
      <c r="C4" s="127"/>
      <c r="D4" s="127"/>
      <c r="E4" s="127"/>
      <c r="F4" s="127"/>
      <c r="G4" s="127"/>
      <c r="H4" s="127"/>
      <c r="I4" s="127"/>
      <c r="J4" s="105"/>
    </row>
    <row r="5" spans="1:10" ht="15.75">
      <c r="A5" s="108"/>
      <c r="B5" s="114" t="s">
        <v>60</v>
      </c>
      <c r="C5" s="127"/>
      <c r="D5" s="127"/>
      <c r="E5" s="127"/>
      <c r="F5" s="127"/>
      <c r="G5" s="127"/>
      <c r="H5" s="127"/>
      <c r="I5" s="127"/>
      <c r="J5" s="105"/>
    </row>
    <row r="6" spans="1:10" ht="15.75">
      <c r="A6" s="108"/>
      <c r="B6" s="105"/>
      <c r="C6" s="106"/>
      <c r="D6" s="106"/>
      <c r="E6" s="105"/>
      <c r="F6" s="106"/>
      <c r="H6" s="109"/>
      <c r="I6" s="109"/>
      <c r="J6" s="109"/>
    </row>
    <row r="7" spans="1:10" ht="15.75">
      <c r="A7" s="123" t="s">
        <v>402</v>
      </c>
      <c r="B7" s="124"/>
      <c r="C7" s="125"/>
      <c r="D7" s="125"/>
      <c r="E7" s="124"/>
      <c r="F7" s="125"/>
      <c r="G7" s="126"/>
      <c r="H7" s="124"/>
      <c r="I7" s="124"/>
      <c r="J7" s="124"/>
    </row>
    <row r="8" spans="1:10" ht="16.5" customHeight="1">
      <c r="A8" s="107"/>
      <c r="B8" s="110"/>
      <c r="C8" s="110"/>
      <c r="D8" s="110"/>
      <c r="E8" s="110"/>
      <c r="F8" s="110"/>
      <c r="H8" s="109"/>
      <c r="I8" s="109"/>
      <c r="J8" s="109"/>
    </row>
    <row r="9" spans="1:10" ht="16.5" customHeight="1">
      <c r="A9" s="129" t="s">
        <v>356</v>
      </c>
      <c r="B9" s="119" t="s">
        <v>487</v>
      </c>
      <c r="C9" s="117" t="s">
        <v>378</v>
      </c>
      <c r="D9" s="117" t="s">
        <v>399</v>
      </c>
      <c r="E9" s="119" t="s">
        <v>405</v>
      </c>
      <c r="F9" s="121" t="s">
        <v>193</v>
      </c>
      <c r="G9" s="115" t="s">
        <v>153</v>
      </c>
      <c r="H9" s="113" t="s">
        <v>154</v>
      </c>
      <c r="I9" s="113" t="s">
        <v>155</v>
      </c>
      <c r="J9" s="113" t="s">
        <v>118</v>
      </c>
    </row>
    <row r="10" spans="1:10" ht="49.5" customHeight="1">
      <c r="A10" s="130"/>
      <c r="B10" s="120"/>
      <c r="C10" s="118"/>
      <c r="D10" s="118"/>
      <c r="E10" s="120"/>
      <c r="F10" s="122"/>
      <c r="G10" s="116"/>
      <c r="H10" s="113"/>
      <c r="I10" s="113"/>
      <c r="J10" s="113"/>
    </row>
    <row r="11" spans="1:10" ht="12" customHeight="1">
      <c r="A11" s="52">
        <v>1</v>
      </c>
      <c r="B11" s="12">
        <v>2</v>
      </c>
      <c r="C11" s="13" t="s">
        <v>390</v>
      </c>
      <c r="D11" s="13" t="s">
        <v>391</v>
      </c>
      <c r="E11" s="12">
        <v>5</v>
      </c>
      <c r="F11" s="14" t="s">
        <v>404</v>
      </c>
      <c r="G11" s="3">
        <v>7</v>
      </c>
      <c r="H11" s="98">
        <v>8</v>
      </c>
      <c r="I11" s="98">
        <v>7</v>
      </c>
      <c r="J11" s="98">
        <v>10</v>
      </c>
    </row>
    <row r="12" spans="1:10" ht="16.5" customHeight="1">
      <c r="A12" s="61" t="s">
        <v>392</v>
      </c>
      <c r="B12" s="15">
        <v>800</v>
      </c>
      <c r="C12" s="30"/>
      <c r="D12" s="30"/>
      <c r="E12" s="15"/>
      <c r="F12" s="33"/>
      <c r="G12" s="5">
        <f>G13+G55+G78+G90+G96</f>
        <v>339709</v>
      </c>
      <c r="H12" s="5">
        <f>H13+H55+H78+H90+H96</f>
        <v>339954</v>
      </c>
      <c r="I12" s="5">
        <f>I13+I55+I78+I90+I96</f>
        <v>328956</v>
      </c>
      <c r="J12" s="101">
        <f>I12/H12*100</f>
        <v>96.76485642175118</v>
      </c>
    </row>
    <row r="13" spans="1:10" ht="17.25" customHeight="1">
      <c r="A13" s="62" t="s">
        <v>425</v>
      </c>
      <c r="B13" s="15">
        <v>800</v>
      </c>
      <c r="C13" s="30" t="s">
        <v>379</v>
      </c>
      <c r="D13" s="30"/>
      <c r="E13" s="15"/>
      <c r="F13" s="33"/>
      <c r="G13" s="5">
        <f>G14+G19+G39+G34</f>
        <v>315931</v>
      </c>
      <c r="H13" s="5">
        <f>H14+H19+H39+H34</f>
        <v>316129</v>
      </c>
      <c r="I13" s="5">
        <f>I14+I19+I39+I34</f>
        <v>305552</v>
      </c>
      <c r="J13" s="102">
        <f aca="true" t="shared" si="0" ref="J13:J76">I13/H13*100</f>
        <v>96.65421394430754</v>
      </c>
    </row>
    <row r="14" spans="1:10" ht="32.25" customHeight="1">
      <c r="A14" s="31" t="s">
        <v>456</v>
      </c>
      <c r="B14" s="27">
        <v>800</v>
      </c>
      <c r="C14" s="20" t="s">
        <v>379</v>
      </c>
      <c r="D14" s="20" t="s">
        <v>380</v>
      </c>
      <c r="E14" s="38"/>
      <c r="F14" s="39"/>
      <c r="G14" s="10">
        <f aca="true" t="shared" si="1" ref="G14:I16">G15</f>
        <v>2543</v>
      </c>
      <c r="H14" s="10">
        <f t="shared" si="1"/>
        <v>2543</v>
      </c>
      <c r="I14" s="10">
        <f t="shared" si="1"/>
        <v>2381</v>
      </c>
      <c r="J14" s="99">
        <f t="shared" si="0"/>
        <v>93.6295713723948</v>
      </c>
    </row>
    <row r="15" spans="1:10" ht="49.5" customHeight="1">
      <c r="A15" s="23" t="s">
        <v>231</v>
      </c>
      <c r="B15" s="27">
        <v>800</v>
      </c>
      <c r="C15" s="26" t="s">
        <v>379</v>
      </c>
      <c r="D15" s="26" t="s">
        <v>380</v>
      </c>
      <c r="E15" s="26" t="s">
        <v>233</v>
      </c>
      <c r="F15" s="35"/>
      <c r="G15" s="10">
        <f t="shared" si="1"/>
        <v>2543</v>
      </c>
      <c r="H15" s="10">
        <f t="shared" si="1"/>
        <v>2543</v>
      </c>
      <c r="I15" s="10">
        <f t="shared" si="1"/>
        <v>2381</v>
      </c>
      <c r="J15" s="99">
        <f t="shared" si="0"/>
        <v>93.6295713723948</v>
      </c>
    </row>
    <row r="16" spans="1:10" ht="17.25" customHeight="1">
      <c r="A16" s="67" t="s">
        <v>196</v>
      </c>
      <c r="B16" s="27">
        <v>800</v>
      </c>
      <c r="C16" s="26" t="s">
        <v>379</v>
      </c>
      <c r="D16" s="26" t="s">
        <v>380</v>
      </c>
      <c r="E16" s="26" t="s">
        <v>338</v>
      </c>
      <c r="F16" s="28"/>
      <c r="G16" s="10">
        <f t="shared" si="1"/>
        <v>2543</v>
      </c>
      <c r="H16" s="10">
        <f t="shared" si="1"/>
        <v>2543</v>
      </c>
      <c r="I16" s="10">
        <f t="shared" si="1"/>
        <v>2381</v>
      </c>
      <c r="J16" s="99">
        <f t="shared" si="0"/>
        <v>93.6295713723948</v>
      </c>
    </row>
    <row r="17" spans="1:10" ht="16.5" customHeight="1">
      <c r="A17" s="67" t="s">
        <v>419</v>
      </c>
      <c r="B17" s="27">
        <v>800</v>
      </c>
      <c r="C17" s="26" t="s">
        <v>379</v>
      </c>
      <c r="D17" s="26" t="s">
        <v>380</v>
      </c>
      <c r="E17" s="26" t="s">
        <v>338</v>
      </c>
      <c r="F17" s="28" t="s">
        <v>420</v>
      </c>
      <c r="G17" s="10">
        <f>2570-27</f>
        <v>2543</v>
      </c>
      <c r="H17" s="10">
        <f>2570-27</f>
        <v>2543</v>
      </c>
      <c r="I17" s="10">
        <v>2381</v>
      </c>
      <c r="J17" s="99">
        <f t="shared" si="0"/>
        <v>93.6295713723948</v>
      </c>
    </row>
    <row r="18" spans="1:10" ht="12" customHeight="1">
      <c r="A18" s="22"/>
      <c r="B18" s="27"/>
      <c r="C18" s="26"/>
      <c r="D18" s="26"/>
      <c r="E18" s="26"/>
      <c r="F18" s="28"/>
      <c r="G18" s="10"/>
      <c r="H18" s="10"/>
      <c r="I18" s="10"/>
      <c r="J18" s="99"/>
    </row>
    <row r="19" spans="1:10" ht="49.5" customHeight="1">
      <c r="A19" s="31" t="s">
        <v>337</v>
      </c>
      <c r="B19" s="27">
        <v>800</v>
      </c>
      <c r="C19" s="20" t="s">
        <v>379</v>
      </c>
      <c r="D19" s="20" t="s">
        <v>382</v>
      </c>
      <c r="E19" s="19"/>
      <c r="F19" s="21"/>
      <c r="G19" s="10">
        <f>G20+G23</f>
        <v>201636</v>
      </c>
      <c r="H19" s="10">
        <f>H20+H23</f>
        <v>201636</v>
      </c>
      <c r="I19" s="10">
        <f>I20+I23</f>
        <v>198214</v>
      </c>
      <c r="J19" s="99">
        <f t="shared" si="0"/>
        <v>98.30288242178976</v>
      </c>
    </row>
    <row r="20" spans="1:10" ht="49.5" customHeight="1">
      <c r="A20" s="23" t="s">
        <v>307</v>
      </c>
      <c r="B20" s="27">
        <v>800</v>
      </c>
      <c r="C20" s="26" t="s">
        <v>379</v>
      </c>
      <c r="D20" s="26" t="s">
        <v>382</v>
      </c>
      <c r="E20" s="26" t="s">
        <v>233</v>
      </c>
      <c r="F20" s="28"/>
      <c r="G20" s="10">
        <f aca="true" t="shared" si="2" ref="G20:I21">G21</f>
        <v>187671</v>
      </c>
      <c r="H20" s="10">
        <f t="shared" si="2"/>
        <v>187671</v>
      </c>
      <c r="I20" s="10">
        <f t="shared" si="2"/>
        <v>186778</v>
      </c>
      <c r="J20" s="99">
        <f t="shared" si="0"/>
        <v>99.52416729276233</v>
      </c>
    </row>
    <row r="21" spans="1:10" ht="16.5" customHeight="1">
      <c r="A21" s="8" t="s">
        <v>364</v>
      </c>
      <c r="B21" s="27">
        <v>800</v>
      </c>
      <c r="C21" s="26" t="s">
        <v>379</v>
      </c>
      <c r="D21" s="26" t="s">
        <v>382</v>
      </c>
      <c r="E21" s="26" t="s">
        <v>441</v>
      </c>
      <c r="F21" s="28"/>
      <c r="G21" s="10">
        <f t="shared" si="2"/>
        <v>187671</v>
      </c>
      <c r="H21" s="10">
        <f t="shared" si="2"/>
        <v>187671</v>
      </c>
      <c r="I21" s="10">
        <f t="shared" si="2"/>
        <v>186778</v>
      </c>
      <c r="J21" s="99">
        <f t="shared" si="0"/>
        <v>99.52416729276233</v>
      </c>
    </row>
    <row r="22" spans="1:10" ht="16.5" customHeight="1">
      <c r="A22" s="67" t="s">
        <v>419</v>
      </c>
      <c r="B22" s="27">
        <v>800</v>
      </c>
      <c r="C22" s="26" t="s">
        <v>379</v>
      </c>
      <c r="D22" s="26" t="s">
        <v>382</v>
      </c>
      <c r="E22" s="26" t="s">
        <v>441</v>
      </c>
      <c r="F22" s="28" t="s">
        <v>420</v>
      </c>
      <c r="G22" s="10">
        <f>219137-2915+1198-400-34325+4976</f>
        <v>187671</v>
      </c>
      <c r="H22" s="10">
        <f>219137-2915+1198-400-34325+4976</f>
        <v>187671</v>
      </c>
      <c r="I22" s="10">
        <v>186778</v>
      </c>
      <c r="J22" s="99">
        <f t="shared" si="0"/>
        <v>99.52416729276233</v>
      </c>
    </row>
    <row r="23" spans="1:10" ht="16.5" customHeight="1">
      <c r="A23" s="67" t="s">
        <v>219</v>
      </c>
      <c r="B23" s="27">
        <v>800</v>
      </c>
      <c r="C23" s="26" t="s">
        <v>379</v>
      </c>
      <c r="D23" s="26" t="s">
        <v>382</v>
      </c>
      <c r="E23" s="26" t="s">
        <v>548</v>
      </c>
      <c r="F23" s="28"/>
      <c r="G23" s="10">
        <f>G24</f>
        <v>13965</v>
      </c>
      <c r="H23" s="10">
        <f>H24</f>
        <v>13965</v>
      </c>
      <c r="I23" s="10">
        <f>I24</f>
        <v>11436</v>
      </c>
      <c r="J23" s="99">
        <f t="shared" si="0"/>
        <v>81.89044038668098</v>
      </c>
    </row>
    <row r="24" spans="1:10" ht="66" customHeight="1">
      <c r="A24" s="67" t="s">
        <v>549</v>
      </c>
      <c r="B24" s="27">
        <v>800</v>
      </c>
      <c r="C24" s="26" t="s">
        <v>379</v>
      </c>
      <c r="D24" s="26" t="s">
        <v>382</v>
      </c>
      <c r="E24" s="26" t="s">
        <v>550</v>
      </c>
      <c r="F24" s="28"/>
      <c r="G24" s="10">
        <f>G25+G27+G29+G31</f>
        <v>13965</v>
      </c>
      <c r="H24" s="10">
        <f>H25+H27+H29+H31</f>
        <v>13965</v>
      </c>
      <c r="I24" s="10">
        <f>I25+I27+I29+I31</f>
        <v>11436</v>
      </c>
      <c r="J24" s="99">
        <f t="shared" si="0"/>
        <v>81.89044038668098</v>
      </c>
    </row>
    <row r="25" spans="1:10" ht="16.5" customHeight="1">
      <c r="A25" s="67" t="s">
        <v>465</v>
      </c>
      <c r="B25" s="27">
        <v>800</v>
      </c>
      <c r="C25" s="26" t="s">
        <v>379</v>
      </c>
      <c r="D25" s="26" t="s">
        <v>382</v>
      </c>
      <c r="E25" s="26" t="s">
        <v>458</v>
      </c>
      <c r="F25" s="28"/>
      <c r="G25" s="10">
        <f>G26</f>
        <v>931</v>
      </c>
      <c r="H25" s="10">
        <f>H26</f>
        <v>931</v>
      </c>
      <c r="I25" s="10">
        <f>I26</f>
        <v>854</v>
      </c>
      <c r="J25" s="99">
        <f t="shared" si="0"/>
        <v>91.72932330827066</v>
      </c>
    </row>
    <row r="26" spans="1:10" ht="16.5" customHeight="1">
      <c r="A26" s="67" t="s">
        <v>419</v>
      </c>
      <c r="B26" s="27">
        <v>800</v>
      </c>
      <c r="C26" s="26" t="s">
        <v>379</v>
      </c>
      <c r="D26" s="26" t="s">
        <v>382</v>
      </c>
      <c r="E26" s="26" t="s">
        <v>458</v>
      </c>
      <c r="F26" s="28" t="s">
        <v>420</v>
      </c>
      <c r="G26" s="10">
        <f>943+10-22</f>
        <v>931</v>
      </c>
      <c r="H26" s="10">
        <f>943+10-22</f>
        <v>931</v>
      </c>
      <c r="I26" s="10">
        <v>854</v>
      </c>
      <c r="J26" s="99">
        <f t="shared" si="0"/>
        <v>91.72932330827066</v>
      </c>
    </row>
    <row r="27" spans="1:10" ht="49.5" customHeight="1">
      <c r="A27" s="67" t="s">
        <v>466</v>
      </c>
      <c r="B27" s="27">
        <v>800</v>
      </c>
      <c r="C27" s="26" t="s">
        <v>379</v>
      </c>
      <c r="D27" s="26" t="s">
        <v>382</v>
      </c>
      <c r="E27" s="26" t="s">
        <v>459</v>
      </c>
      <c r="F27" s="28"/>
      <c r="G27" s="10">
        <f>G28</f>
        <v>8206</v>
      </c>
      <c r="H27" s="10">
        <f>H28</f>
        <v>8206</v>
      </c>
      <c r="I27" s="10">
        <f>I28</f>
        <v>7343</v>
      </c>
      <c r="J27" s="99">
        <f t="shared" si="0"/>
        <v>89.4833048988545</v>
      </c>
    </row>
    <row r="28" spans="1:10" ht="16.5" customHeight="1">
      <c r="A28" s="67" t="s">
        <v>419</v>
      </c>
      <c r="B28" s="27">
        <v>800</v>
      </c>
      <c r="C28" s="26" t="s">
        <v>379</v>
      </c>
      <c r="D28" s="26" t="s">
        <v>382</v>
      </c>
      <c r="E28" s="26" t="s">
        <v>459</v>
      </c>
      <c r="F28" s="28" t="s">
        <v>420</v>
      </c>
      <c r="G28" s="10">
        <f>8013+381-188</f>
        <v>8206</v>
      </c>
      <c r="H28" s="10">
        <f>8013+381-188</f>
        <v>8206</v>
      </c>
      <c r="I28" s="10">
        <v>7343</v>
      </c>
      <c r="J28" s="99">
        <f t="shared" si="0"/>
        <v>89.4833048988545</v>
      </c>
    </row>
    <row r="29" spans="1:10" ht="32.25" customHeight="1">
      <c r="A29" s="67" t="s">
        <v>668</v>
      </c>
      <c r="B29" s="27">
        <v>800</v>
      </c>
      <c r="C29" s="26" t="s">
        <v>379</v>
      </c>
      <c r="D29" s="26" t="s">
        <v>382</v>
      </c>
      <c r="E29" s="26" t="s">
        <v>460</v>
      </c>
      <c r="F29" s="28"/>
      <c r="G29" s="10">
        <f>G30</f>
        <v>4808</v>
      </c>
      <c r="H29" s="10">
        <f>H30</f>
        <v>4808</v>
      </c>
      <c r="I29" s="10">
        <f>I30</f>
        <v>3219</v>
      </c>
      <c r="J29" s="99">
        <f t="shared" si="0"/>
        <v>66.95091514143094</v>
      </c>
    </row>
    <row r="30" spans="1:10" ht="16.5" customHeight="1">
      <c r="A30" s="67" t="s">
        <v>419</v>
      </c>
      <c r="B30" s="27">
        <v>800</v>
      </c>
      <c r="C30" s="26" t="s">
        <v>379</v>
      </c>
      <c r="D30" s="26" t="s">
        <v>382</v>
      </c>
      <c r="E30" s="26" t="s">
        <v>460</v>
      </c>
      <c r="F30" s="28" t="s">
        <v>420</v>
      </c>
      <c r="G30" s="10">
        <f>4555+342-89</f>
        <v>4808</v>
      </c>
      <c r="H30" s="10">
        <f>4555+342-89</f>
        <v>4808</v>
      </c>
      <c r="I30" s="10">
        <v>3219</v>
      </c>
      <c r="J30" s="99">
        <f t="shared" si="0"/>
        <v>66.95091514143094</v>
      </c>
    </row>
    <row r="31" spans="1:10" ht="79.5" customHeight="1">
      <c r="A31" s="76" t="s">
        <v>669</v>
      </c>
      <c r="B31" s="27">
        <v>800</v>
      </c>
      <c r="C31" s="26" t="s">
        <v>379</v>
      </c>
      <c r="D31" s="26" t="s">
        <v>382</v>
      </c>
      <c r="E31" s="26" t="s">
        <v>461</v>
      </c>
      <c r="F31" s="28"/>
      <c r="G31" s="10">
        <f>G32</f>
        <v>20</v>
      </c>
      <c r="H31" s="10">
        <f>H32</f>
        <v>20</v>
      </c>
      <c r="I31" s="10">
        <f>I32</f>
        <v>20</v>
      </c>
      <c r="J31" s="99">
        <f t="shared" si="0"/>
        <v>100</v>
      </c>
    </row>
    <row r="32" spans="1:10" ht="16.5" customHeight="1">
      <c r="A32" s="67" t="s">
        <v>419</v>
      </c>
      <c r="B32" s="27">
        <v>800</v>
      </c>
      <c r="C32" s="26" t="s">
        <v>379</v>
      </c>
      <c r="D32" s="26" t="s">
        <v>382</v>
      </c>
      <c r="E32" s="26" t="s">
        <v>461</v>
      </c>
      <c r="F32" s="28" t="s">
        <v>420</v>
      </c>
      <c r="G32" s="10">
        <v>20</v>
      </c>
      <c r="H32" s="10">
        <v>20</v>
      </c>
      <c r="I32" s="10">
        <v>20</v>
      </c>
      <c r="J32" s="99">
        <f t="shared" si="0"/>
        <v>100</v>
      </c>
    </row>
    <row r="33" spans="1:10" ht="12" customHeight="1">
      <c r="A33" s="67"/>
      <c r="B33" s="27"/>
      <c r="C33" s="26"/>
      <c r="D33" s="26"/>
      <c r="E33" s="26"/>
      <c r="F33" s="28"/>
      <c r="G33" s="10"/>
      <c r="H33" s="10"/>
      <c r="I33" s="10"/>
      <c r="J33" s="99"/>
    </row>
    <row r="34" spans="1:10" ht="16.5" customHeight="1">
      <c r="A34" s="67" t="s">
        <v>62</v>
      </c>
      <c r="B34" s="27">
        <v>800</v>
      </c>
      <c r="C34" s="26" t="s">
        <v>379</v>
      </c>
      <c r="D34" s="26" t="s">
        <v>389</v>
      </c>
      <c r="E34" s="26"/>
      <c r="F34" s="28"/>
      <c r="G34" s="10">
        <f aca="true" t="shared" si="3" ref="G34:I36">G35</f>
        <v>509</v>
      </c>
      <c r="H34" s="10">
        <f t="shared" si="3"/>
        <v>509</v>
      </c>
      <c r="I34" s="10">
        <f t="shared" si="3"/>
        <v>500</v>
      </c>
      <c r="J34" s="99">
        <f t="shared" si="0"/>
        <v>98.23182711198429</v>
      </c>
    </row>
    <row r="35" spans="1:10" ht="16.5" customHeight="1">
      <c r="A35" s="67" t="s">
        <v>63</v>
      </c>
      <c r="B35" s="27">
        <v>800</v>
      </c>
      <c r="C35" s="26" t="s">
        <v>379</v>
      </c>
      <c r="D35" s="26" t="s">
        <v>389</v>
      </c>
      <c r="E35" s="26" t="s">
        <v>65</v>
      </c>
      <c r="F35" s="28"/>
      <c r="G35" s="10">
        <f t="shared" si="3"/>
        <v>509</v>
      </c>
      <c r="H35" s="10">
        <f t="shared" si="3"/>
        <v>509</v>
      </c>
      <c r="I35" s="10">
        <f t="shared" si="3"/>
        <v>500</v>
      </c>
      <c r="J35" s="99">
        <f t="shared" si="0"/>
        <v>98.23182711198429</v>
      </c>
    </row>
    <row r="36" spans="1:10" ht="49.5" customHeight="1">
      <c r="A36" s="67" t="s">
        <v>64</v>
      </c>
      <c r="B36" s="27">
        <v>800</v>
      </c>
      <c r="C36" s="20" t="s">
        <v>379</v>
      </c>
      <c r="D36" s="20" t="s">
        <v>389</v>
      </c>
      <c r="E36" s="20" t="s">
        <v>66</v>
      </c>
      <c r="F36" s="21"/>
      <c r="G36" s="10">
        <f t="shared" si="3"/>
        <v>509</v>
      </c>
      <c r="H36" s="10">
        <f t="shared" si="3"/>
        <v>509</v>
      </c>
      <c r="I36" s="10">
        <f t="shared" si="3"/>
        <v>500</v>
      </c>
      <c r="J36" s="99">
        <f t="shared" si="0"/>
        <v>98.23182711198429</v>
      </c>
    </row>
    <row r="37" spans="1:10" ht="16.5" customHeight="1">
      <c r="A37" s="67" t="s">
        <v>419</v>
      </c>
      <c r="B37" s="27">
        <v>800</v>
      </c>
      <c r="C37" s="20" t="s">
        <v>379</v>
      </c>
      <c r="D37" s="20" t="s">
        <v>389</v>
      </c>
      <c r="E37" s="20" t="s">
        <v>66</v>
      </c>
      <c r="F37" s="21" t="s">
        <v>420</v>
      </c>
      <c r="G37" s="10">
        <f>893+52-436</f>
        <v>509</v>
      </c>
      <c r="H37" s="10">
        <f>893+52-436</f>
        <v>509</v>
      </c>
      <c r="I37" s="10">
        <v>500</v>
      </c>
      <c r="J37" s="99">
        <f t="shared" si="0"/>
        <v>98.23182711198429</v>
      </c>
    </row>
    <row r="38" spans="1:10" ht="12" customHeight="1">
      <c r="A38" s="67"/>
      <c r="B38" s="27"/>
      <c r="C38" s="20"/>
      <c r="D38" s="20"/>
      <c r="E38" s="57"/>
      <c r="F38" s="21"/>
      <c r="G38" s="10"/>
      <c r="H38" s="10"/>
      <c r="I38" s="10"/>
      <c r="J38" s="99"/>
    </row>
    <row r="39" spans="1:10" ht="16.5" customHeight="1">
      <c r="A39" s="31" t="s">
        <v>313</v>
      </c>
      <c r="B39" s="27">
        <v>800</v>
      </c>
      <c r="C39" s="20" t="s">
        <v>379</v>
      </c>
      <c r="D39" s="20" t="s">
        <v>314</v>
      </c>
      <c r="E39" s="57"/>
      <c r="F39" s="21"/>
      <c r="G39" s="10">
        <f>G48+G51+G44+G40</f>
        <v>111243</v>
      </c>
      <c r="H39" s="10">
        <f>H48+H51+H44+H40</f>
        <v>111441</v>
      </c>
      <c r="I39" s="10">
        <f>I48+I51+I44+I40</f>
        <v>104457</v>
      </c>
      <c r="J39" s="99">
        <f t="shared" si="0"/>
        <v>93.7330067030985</v>
      </c>
    </row>
    <row r="40" spans="1:10" ht="16.5" customHeight="1">
      <c r="A40" s="60" t="s">
        <v>371</v>
      </c>
      <c r="B40" s="27">
        <v>800</v>
      </c>
      <c r="C40" s="26" t="s">
        <v>379</v>
      </c>
      <c r="D40" s="26" t="s">
        <v>314</v>
      </c>
      <c r="E40" s="19" t="s">
        <v>427</v>
      </c>
      <c r="F40" s="39"/>
      <c r="G40" s="10">
        <f aca="true" t="shared" si="4" ref="G40:I42">G41</f>
        <v>0</v>
      </c>
      <c r="H40" s="10">
        <f t="shared" si="4"/>
        <v>198</v>
      </c>
      <c r="I40" s="10">
        <f t="shared" si="4"/>
        <v>198</v>
      </c>
      <c r="J40" s="99">
        <f t="shared" si="0"/>
        <v>100</v>
      </c>
    </row>
    <row r="41" spans="1:10" ht="16.5" customHeight="1">
      <c r="A41" s="8" t="s">
        <v>426</v>
      </c>
      <c r="B41" s="27">
        <v>800</v>
      </c>
      <c r="C41" s="26" t="s">
        <v>379</v>
      </c>
      <c r="D41" s="26" t="s">
        <v>314</v>
      </c>
      <c r="E41" s="26" t="s">
        <v>428</v>
      </c>
      <c r="F41" s="21"/>
      <c r="G41" s="10">
        <f t="shared" si="4"/>
        <v>0</v>
      </c>
      <c r="H41" s="10">
        <f t="shared" si="4"/>
        <v>198</v>
      </c>
      <c r="I41" s="10">
        <f t="shared" si="4"/>
        <v>198</v>
      </c>
      <c r="J41" s="99">
        <f t="shared" si="0"/>
        <v>100</v>
      </c>
    </row>
    <row r="42" spans="1:10" ht="16.5" customHeight="1">
      <c r="A42" s="67" t="s">
        <v>469</v>
      </c>
      <c r="B42" s="27">
        <v>800</v>
      </c>
      <c r="C42" s="26" t="s">
        <v>379</v>
      </c>
      <c r="D42" s="26" t="s">
        <v>314</v>
      </c>
      <c r="E42" s="26" t="s">
        <v>311</v>
      </c>
      <c r="F42" s="21"/>
      <c r="G42" s="10">
        <f t="shared" si="4"/>
        <v>0</v>
      </c>
      <c r="H42" s="10">
        <f t="shared" si="4"/>
        <v>198</v>
      </c>
      <c r="I42" s="10">
        <f t="shared" si="4"/>
        <v>198</v>
      </c>
      <c r="J42" s="99">
        <f t="shared" si="0"/>
        <v>100</v>
      </c>
    </row>
    <row r="43" spans="1:10" ht="16.5" customHeight="1">
      <c r="A43" s="64" t="s">
        <v>232</v>
      </c>
      <c r="B43" s="27">
        <v>800</v>
      </c>
      <c r="C43" s="26" t="s">
        <v>379</v>
      </c>
      <c r="D43" s="26" t="s">
        <v>314</v>
      </c>
      <c r="E43" s="26" t="s">
        <v>311</v>
      </c>
      <c r="F43" s="21" t="s">
        <v>234</v>
      </c>
      <c r="G43" s="10">
        <v>0</v>
      </c>
      <c r="H43" s="10">
        <v>198</v>
      </c>
      <c r="I43" s="10">
        <v>198</v>
      </c>
      <c r="J43" s="99">
        <f t="shared" si="0"/>
        <v>100</v>
      </c>
    </row>
    <row r="44" spans="1:10" ht="32.25" customHeight="1">
      <c r="A44" s="31" t="s">
        <v>409</v>
      </c>
      <c r="B44" s="27">
        <v>800</v>
      </c>
      <c r="C44" s="26" t="s">
        <v>379</v>
      </c>
      <c r="D44" s="26" t="s">
        <v>314</v>
      </c>
      <c r="E44" s="26" t="s">
        <v>316</v>
      </c>
      <c r="F44" s="28"/>
      <c r="G44" s="10">
        <f aca="true" t="shared" si="5" ref="G44:I46">G45</f>
        <v>13000</v>
      </c>
      <c r="H44" s="10">
        <f t="shared" si="5"/>
        <v>13000</v>
      </c>
      <c r="I44" s="10">
        <f t="shared" si="5"/>
        <v>13000</v>
      </c>
      <c r="J44" s="99">
        <f t="shared" si="0"/>
        <v>100</v>
      </c>
    </row>
    <row r="45" spans="1:10" ht="16.5" customHeight="1">
      <c r="A45" s="31" t="s">
        <v>410</v>
      </c>
      <c r="B45" s="27">
        <v>800</v>
      </c>
      <c r="C45" s="26" t="s">
        <v>379</v>
      </c>
      <c r="D45" s="26" t="s">
        <v>314</v>
      </c>
      <c r="E45" s="26" t="s">
        <v>317</v>
      </c>
      <c r="F45" s="28"/>
      <c r="G45" s="10">
        <f t="shared" si="5"/>
        <v>13000</v>
      </c>
      <c r="H45" s="10">
        <f t="shared" si="5"/>
        <v>13000</v>
      </c>
      <c r="I45" s="10">
        <f t="shared" si="5"/>
        <v>13000</v>
      </c>
      <c r="J45" s="99">
        <f t="shared" si="0"/>
        <v>100</v>
      </c>
    </row>
    <row r="46" spans="1:10" ht="32.25" customHeight="1">
      <c r="A46" s="66" t="s">
        <v>457</v>
      </c>
      <c r="B46" s="27">
        <v>800</v>
      </c>
      <c r="C46" s="54" t="s">
        <v>379</v>
      </c>
      <c r="D46" s="54" t="s">
        <v>314</v>
      </c>
      <c r="E46" s="54" t="s">
        <v>43</v>
      </c>
      <c r="F46" s="56"/>
      <c r="G46" s="10">
        <f t="shared" si="5"/>
        <v>13000</v>
      </c>
      <c r="H46" s="10">
        <f t="shared" si="5"/>
        <v>13000</v>
      </c>
      <c r="I46" s="10">
        <f t="shared" si="5"/>
        <v>13000</v>
      </c>
      <c r="J46" s="99">
        <f t="shared" si="0"/>
        <v>100</v>
      </c>
    </row>
    <row r="47" spans="1:10" ht="16.5" customHeight="1">
      <c r="A47" s="67" t="s">
        <v>419</v>
      </c>
      <c r="B47" s="27">
        <v>800</v>
      </c>
      <c r="C47" s="54" t="s">
        <v>379</v>
      </c>
      <c r="D47" s="54" t="s">
        <v>314</v>
      </c>
      <c r="E47" s="54" t="s">
        <v>43</v>
      </c>
      <c r="F47" s="56" t="s">
        <v>420</v>
      </c>
      <c r="G47" s="10">
        <f>13200-200</f>
        <v>13000</v>
      </c>
      <c r="H47" s="10">
        <f>13200-200</f>
        <v>13000</v>
      </c>
      <c r="I47" s="10">
        <f>13200-200</f>
        <v>13000</v>
      </c>
      <c r="J47" s="99">
        <f t="shared" si="0"/>
        <v>100</v>
      </c>
    </row>
    <row r="48" spans="1:10" ht="16.5" customHeight="1">
      <c r="A48" s="23" t="s">
        <v>205</v>
      </c>
      <c r="B48" s="27">
        <v>800</v>
      </c>
      <c r="C48" s="26" t="s">
        <v>379</v>
      </c>
      <c r="D48" s="26" t="s">
        <v>314</v>
      </c>
      <c r="E48" s="26" t="s">
        <v>349</v>
      </c>
      <c r="F48" s="28"/>
      <c r="G48" s="10">
        <f aca="true" t="shared" si="6" ref="G48:I49">G49</f>
        <v>97813</v>
      </c>
      <c r="H48" s="10">
        <f t="shared" si="6"/>
        <v>97813</v>
      </c>
      <c r="I48" s="10">
        <f t="shared" si="6"/>
        <v>90839</v>
      </c>
      <c r="J48" s="99">
        <f t="shared" si="0"/>
        <v>92.8700683958165</v>
      </c>
    </row>
    <row r="49" spans="1:10" ht="16.5" customHeight="1">
      <c r="A49" s="8" t="s">
        <v>359</v>
      </c>
      <c r="B49" s="27">
        <v>800</v>
      </c>
      <c r="C49" s="26" t="s">
        <v>379</v>
      </c>
      <c r="D49" s="26" t="s">
        <v>314</v>
      </c>
      <c r="E49" s="26" t="s">
        <v>350</v>
      </c>
      <c r="F49" s="28"/>
      <c r="G49" s="10">
        <f t="shared" si="6"/>
        <v>97813</v>
      </c>
      <c r="H49" s="10">
        <f t="shared" si="6"/>
        <v>97813</v>
      </c>
      <c r="I49" s="10">
        <f t="shared" si="6"/>
        <v>90839</v>
      </c>
      <c r="J49" s="99">
        <f t="shared" si="0"/>
        <v>92.8700683958165</v>
      </c>
    </row>
    <row r="50" spans="1:10" ht="16.5" customHeight="1">
      <c r="A50" s="23" t="s">
        <v>348</v>
      </c>
      <c r="B50" s="27">
        <v>800</v>
      </c>
      <c r="C50" s="26" t="s">
        <v>379</v>
      </c>
      <c r="D50" s="26" t="s">
        <v>314</v>
      </c>
      <c r="E50" s="26" t="s">
        <v>350</v>
      </c>
      <c r="F50" s="28" t="s">
        <v>234</v>
      </c>
      <c r="G50" s="10">
        <f>106653-11040+2200</f>
        <v>97813</v>
      </c>
      <c r="H50" s="10">
        <f>106653-11040+2200</f>
        <v>97813</v>
      </c>
      <c r="I50" s="10">
        <v>90839</v>
      </c>
      <c r="J50" s="99">
        <f t="shared" si="0"/>
        <v>92.8700683958165</v>
      </c>
    </row>
    <row r="51" spans="1:10" ht="16.5" customHeight="1">
      <c r="A51" s="23" t="s">
        <v>199</v>
      </c>
      <c r="B51" s="27">
        <v>800</v>
      </c>
      <c r="C51" s="26" t="s">
        <v>379</v>
      </c>
      <c r="D51" s="26" t="s">
        <v>314</v>
      </c>
      <c r="E51" s="26" t="s">
        <v>417</v>
      </c>
      <c r="F51" s="28"/>
      <c r="G51" s="10">
        <f aca="true" t="shared" si="7" ref="G51:I52">G52</f>
        <v>430</v>
      </c>
      <c r="H51" s="10">
        <f t="shared" si="7"/>
        <v>430</v>
      </c>
      <c r="I51" s="10">
        <f t="shared" si="7"/>
        <v>420</v>
      </c>
      <c r="J51" s="99">
        <f t="shared" si="0"/>
        <v>97.67441860465115</v>
      </c>
    </row>
    <row r="52" spans="1:10" ht="32.25" customHeight="1">
      <c r="A52" s="67" t="s">
        <v>619</v>
      </c>
      <c r="B52" s="27">
        <v>800</v>
      </c>
      <c r="C52" s="26" t="s">
        <v>379</v>
      </c>
      <c r="D52" s="26" t="s">
        <v>314</v>
      </c>
      <c r="E52" s="26" t="s">
        <v>345</v>
      </c>
      <c r="F52" s="28"/>
      <c r="G52" s="10">
        <f t="shared" si="7"/>
        <v>430</v>
      </c>
      <c r="H52" s="10">
        <f t="shared" si="7"/>
        <v>430</v>
      </c>
      <c r="I52" s="10">
        <f t="shared" si="7"/>
        <v>420</v>
      </c>
      <c r="J52" s="99">
        <f t="shared" si="0"/>
        <v>97.67441860465115</v>
      </c>
    </row>
    <row r="53" spans="1:10" ht="16.5" customHeight="1">
      <c r="A53" s="67" t="s">
        <v>419</v>
      </c>
      <c r="B53" s="27">
        <v>800</v>
      </c>
      <c r="C53" s="26" t="s">
        <v>379</v>
      </c>
      <c r="D53" s="26" t="s">
        <v>314</v>
      </c>
      <c r="E53" s="26" t="s">
        <v>345</v>
      </c>
      <c r="F53" s="28" t="s">
        <v>420</v>
      </c>
      <c r="G53" s="10">
        <f>430</f>
        <v>430</v>
      </c>
      <c r="H53" s="10">
        <f>430</f>
        <v>430</v>
      </c>
      <c r="I53" s="10">
        <v>420</v>
      </c>
      <c r="J53" s="99">
        <f t="shared" si="0"/>
        <v>97.67441860465115</v>
      </c>
    </row>
    <row r="54" spans="1:10" ht="12" customHeight="1">
      <c r="A54" s="64"/>
      <c r="B54" s="26"/>
      <c r="C54" s="26"/>
      <c r="D54" s="26"/>
      <c r="E54" s="27"/>
      <c r="F54" s="28"/>
      <c r="G54" s="10"/>
      <c r="H54" s="10"/>
      <c r="I54" s="10"/>
      <c r="J54" s="99"/>
    </row>
    <row r="55" spans="1:10" ht="32.25" customHeight="1">
      <c r="A55" s="62" t="s">
        <v>415</v>
      </c>
      <c r="B55" s="15">
        <v>800</v>
      </c>
      <c r="C55" s="30" t="s">
        <v>381</v>
      </c>
      <c r="D55" s="30"/>
      <c r="E55" s="30"/>
      <c r="F55" s="33"/>
      <c r="G55" s="5">
        <f>G56+G73</f>
        <v>21698</v>
      </c>
      <c r="H55" s="5">
        <f>H56+H73</f>
        <v>21745</v>
      </c>
      <c r="I55" s="5">
        <f>I56+I73</f>
        <v>21334</v>
      </c>
      <c r="J55" s="103">
        <f t="shared" si="0"/>
        <v>98.10991032421246</v>
      </c>
    </row>
    <row r="56" spans="1:10" ht="32.25" customHeight="1">
      <c r="A56" s="31" t="s">
        <v>339</v>
      </c>
      <c r="B56" s="19">
        <v>800</v>
      </c>
      <c r="C56" s="20" t="s">
        <v>381</v>
      </c>
      <c r="D56" s="20" t="s">
        <v>386</v>
      </c>
      <c r="E56" s="19"/>
      <c r="F56" s="21"/>
      <c r="G56" s="10">
        <f>G57+G61+G66+G69</f>
        <v>21398</v>
      </c>
      <c r="H56" s="10">
        <f>H57+H61+H66+H69</f>
        <v>21445</v>
      </c>
      <c r="I56" s="10">
        <f>I57+I61+I66+I69</f>
        <v>21034</v>
      </c>
      <c r="J56" s="99">
        <f t="shared" si="0"/>
        <v>98.08346934017254</v>
      </c>
    </row>
    <row r="57" spans="1:10" ht="16.5" customHeight="1">
      <c r="A57" s="60" t="s">
        <v>371</v>
      </c>
      <c r="B57" s="27">
        <v>800</v>
      </c>
      <c r="C57" s="26" t="s">
        <v>381</v>
      </c>
      <c r="D57" s="26" t="s">
        <v>386</v>
      </c>
      <c r="E57" s="19" t="s">
        <v>427</v>
      </c>
      <c r="F57" s="39"/>
      <c r="G57" s="6">
        <f aca="true" t="shared" si="8" ref="G57:I59">G58</f>
        <v>0</v>
      </c>
      <c r="H57" s="6">
        <f t="shared" si="8"/>
        <v>47</v>
      </c>
      <c r="I57" s="6">
        <f t="shared" si="8"/>
        <v>47</v>
      </c>
      <c r="J57" s="99">
        <f t="shared" si="0"/>
        <v>100</v>
      </c>
    </row>
    <row r="58" spans="1:10" ht="16.5" customHeight="1">
      <c r="A58" s="8" t="s">
        <v>426</v>
      </c>
      <c r="B58" s="27">
        <v>800</v>
      </c>
      <c r="C58" s="26" t="s">
        <v>381</v>
      </c>
      <c r="D58" s="26" t="s">
        <v>386</v>
      </c>
      <c r="E58" s="26" t="s">
        <v>428</v>
      </c>
      <c r="F58" s="21"/>
      <c r="G58" s="6">
        <f t="shared" si="8"/>
        <v>0</v>
      </c>
      <c r="H58" s="6">
        <f t="shared" si="8"/>
        <v>47</v>
      </c>
      <c r="I58" s="6">
        <f t="shared" si="8"/>
        <v>47</v>
      </c>
      <c r="J58" s="99">
        <f t="shared" si="0"/>
        <v>100</v>
      </c>
    </row>
    <row r="59" spans="1:10" ht="16.5" customHeight="1">
      <c r="A59" s="67" t="s">
        <v>469</v>
      </c>
      <c r="B59" s="27">
        <v>800</v>
      </c>
      <c r="C59" s="26" t="s">
        <v>381</v>
      </c>
      <c r="D59" s="26" t="s">
        <v>386</v>
      </c>
      <c r="E59" s="26" t="s">
        <v>311</v>
      </c>
      <c r="F59" s="21"/>
      <c r="G59" s="6">
        <f t="shared" si="8"/>
        <v>0</v>
      </c>
      <c r="H59" s="6">
        <f t="shared" si="8"/>
        <v>47</v>
      </c>
      <c r="I59" s="6">
        <f t="shared" si="8"/>
        <v>47</v>
      </c>
      <c r="J59" s="99">
        <f t="shared" si="0"/>
        <v>100</v>
      </c>
    </row>
    <row r="60" spans="1:10" ht="32.25" customHeight="1">
      <c r="A60" s="60" t="s">
        <v>327</v>
      </c>
      <c r="B60" s="27">
        <v>800</v>
      </c>
      <c r="C60" s="26" t="s">
        <v>381</v>
      </c>
      <c r="D60" s="26" t="s">
        <v>386</v>
      </c>
      <c r="E60" s="26" t="s">
        <v>311</v>
      </c>
      <c r="F60" s="21" t="s">
        <v>315</v>
      </c>
      <c r="G60" s="6">
        <v>0</v>
      </c>
      <c r="H60" s="6">
        <v>47</v>
      </c>
      <c r="I60" s="6">
        <v>47</v>
      </c>
      <c r="J60" s="99">
        <f t="shared" si="0"/>
        <v>100</v>
      </c>
    </row>
    <row r="61" spans="1:10" ht="32.25" customHeight="1">
      <c r="A61" s="31" t="s">
        <v>373</v>
      </c>
      <c r="B61" s="27">
        <v>800</v>
      </c>
      <c r="C61" s="26" t="s">
        <v>381</v>
      </c>
      <c r="D61" s="26" t="s">
        <v>386</v>
      </c>
      <c r="E61" s="27" t="s">
        <v>340</v>
      </c>
      <c r="F61" s="28"/>
      <c r="G61" s="10">
        <f>G62+G64</f>
        <v>760</v>
      </c>
      <c r="H61" s="10">
        <f>H62+H64</f>
        <v>760</v>
      </c>
      <c r="I61" s="10">
        <f>I62+I64</f>
        <v>760</v>
      </c>
      <c r="J61" s="99">
        <f t="shared" si="0"/>
        <v>100</v>
      </c>
    </row>
    <row r="62" spans="1:10" ht="32.25" customHeight="1">
      <c r="A62" s="8" t="s">
        <v>406</v>
      </c>
      <c r="B62" s="27">
        <v>800</v>
      </c>
      <c r="C62" s="26" t="s">
        <v>381</v>
      </c>
      <c r="D62" s="26" t="s">
        <v>386</v>
      </c>
      <c r="E62" s="27" t="s">
        <v>341</v>
      </c>
      <c r="F62" s="28"/>
      <c r="G62" s="10">
        <f>G63</f>
        <v>500</v>
      </c>
      <c r="H62" s="10">
        <f>H63</f>
        <v>500</v>
      </c>
      <c r="I62" s="10">
        <f>I63</f>
        <v>500</v>
      </c>
      <c r="J62" s="99">
        <f t="shared" si="0"/>
        <v>100</v>
      </c>
    </row>
    <row r="63" spans="1:10" ht="16.5" customHeight="1">
      <c r="A63" s="67" t="s">
        <v>419</v>
      </c>
      <c r="B63" s="27">
        <v>800</v>
      </c>
      <c r="C63" s="26" t="s">
        <v>381</v>
      </c>
      <c r="D63" s="26" t="s">
        <v>386</v>
      </c>
      <c r="E63" s="27" t="s">
        <v>341</v>
      </c>
      <c r="F63" s="28" t="s">
        <v>420</v>
      </c>
      <c r="G63" s="10">
        <f>1000-500</f>
        <v>500</v>
      </c>
      <c r="H63" s="10">
        <f>1000-500</f>
        <v>500</v>
      </c>
      <c r="I63" s="10">
        <f>1000-500</f>
        <v>500</v>
      </c>
      <c r="J63" s="99">
        <f t="shared" si="0"/>
        <v>100</v>
      </c>
    </row>
    <row r="64" spans="1:10" ht="32.25" customHeight="1">
      <c r="A64" s="23" t="s">
        <v>132</v>
      </c>
      <c r="B64" s="27">
        <v>800</v>
      </c>
      <c r="C64" s="26" t="s">
        <v>381</v>
      </c>
      <c r="D64" s="26" t="s">
        <v>386</v>
      </c>
      <c r="E64" s="27" t="s">
        <v>342</v>
      </c>
      <c r="F64" s="28"/>
      <c r="G64" s="10">
        <f>G65</f>
        <v>260</v>
      </c>
      <c r="H64" s="10">
        <f>H65</f>
        <v>260</v>
      </c>
      <c r="I64" s="10">
        <f>I65</f>
        <v>260</v>
      </c>
      <c r="J64" s="99">
        <f t="shared" si="0"/>
        <v>100</v>
      </c>
    </row>
    <row r="65" spans="1:10" ht="16.5" customHeight="1">
      <c r="A65" s="67" t="s">
        <v>419</v>
      </c>
      <c r="B65" s="27">
        <v>800</v>
      </c>
      <c r="C65" s="26" t="s">
        <v>381</v>
      </c>
      <c r="D65" s="26" t="s">
        <v>386</v>
      </c>
      <c r="E65" s="27" t="s">
        <v>342</v>
      </c>
      <c r="F65" s="28" t="s">
        <v>420</v>
      </c>
      <c r="G65" s="10">
        <f>400-140</f>
        <v>260</v>
      </c>
      <c r="H65" s="10">
        <f>400-140</f>
        <v>260</v>
      </c>
      <c r="I65" s="10">
        <f>400-140</f>
        <v>260</v>
      </c>
      <c r="J65" s="99">
        <f t="shared" si="0"/>
        <v>100</v>
      </c>
    </row>
    <row r="66" spans="1:10" ht="16.5" customHeight="1">
      <c r="A66" s="23" t="s">
        <v>551</v>
      </c>
      <c r="B66" s="27">
        <v>800</v>
      </c>
      <c r="C66" s="26" t="s">
        <v>381</v>
      </c>
      <c r="D66" s="26" t="s">
        <v>386</v>
      </c>
      <c r="E66" s="27" t="s">
        <v>552</v>
      </c>
      <c r="F66" s="28"/>
      <c r="G66" s="10">
        <f aca="true" t="shared" si="9" ref="G66:I67">G67</f>
        <v>200</v>
      </c>
      <c r="H66" s="10">
        <f t="shared" si="9"/>
        <v>200</v>
      </c>
      <c r="I66" s="10">
        <f t="shared" si="9"/>
        <v>199</v>
      </c>
      <c r="J66" s="99">
        <f t="shared" si="0"/>
        <v>99.5</v>
      </c>
    </row>
    <row r="67" spans="1:10" ht="32.25" customHeight="1">
      <c r="A67" s="23" t="s">
        <v>133</v>
      </c>
      <c r="B67" s="27">
        <v>800</v>
      </c>
      <c r="C67" s="26" t="s">
        <v>381</v>
      </c>
      <c r="D67" s="26" t="s">
        <v>386</v>
      </c>
      <c r="E67" s="27" t="s">
        <v>553</v>
      </c>
      <c r="F67" s="28"/>
      <c r="G67" s="10">
        <f t="shared" si="9"/>
        <v>200</v>
      </c>
      <c r="H67" s="10">
        <f t="shared" si="9"/>
        <v>200</v>
      </c>
      <c r="I67" s="10">
        <f t="shared" si="9"/>
        <v>199</v>
      </c>
      <c r="J67" s="99">
        <f t="shared" si="0"/>
        <v>99.5</v>
      </c>
    </row>
    <row r="68" spans="1:10" ht="16.5" customHeight="1">
      <c r="A68" s="60" t="s">
        <v>419</v>
      </c>
      <c r="B68" s="27">
        <v>800</v>
      </c>
      <c r="C68" s="26" t="s">
        <v>381</v>
      </c>
      <c r="D68" s="26" t="s">
        <v>386</v>
      </c>
      <c r="E68" s="27" t="s">
        <v>553</v>
      </c>
      <c r="F68" s="28" t="s">
        <v>420</v>
      </c>
      <c r="G68" s="10">
        <f>300-100</f>
        <v>200</v>
      </c>
      <c r="H68" s="10">
        <f>300-100</f>
        <v>200</v>
      </c>
      <c r="I68" s="10">
        <v>199</v>
      </c>
      <c r="J68" s="99">
        <f t="shared" si="0"/>
        <v>99.5</v>
      </c>
    </row>
    <row r="69" spans="1:10" ht="16.5" customHeight="1">
      <c r="A69" s="31" t="s">
        <v>414</v>
      </c>
      <c r="B69" s="19">
        <v>800</v>
      </c>
      <c r="C69" s="26" t="s">
        <v>381</v>
      </c>
      <c r="D69" s="26" t="s">
        <v>386</v>
      </c>
      <c r="E69" s="27" t="s">
        <v>343</v>
      </c>
      <c r="F69" s="28"/>
      <c r="G69" s="10">
        <f aca="true" t="shared" si="10" ref="G69:I70">G70</f>
        <v>20438</v>
      </c>
      <c r="H69" s="10">
        <f t="shared" si="10"/>
        <v>20438</v>
      </c>
      <c r="I69" s="10">
        <f t="shared" si="10"/>
        <v>20028</v>
      </c>
      <c r="J69" s="99">
        <f t="shared" si="0"/>
        <v>97.99393287014385</v>
      </c>
    </row>
    <row r="70" spans="1:10" ht="16.5" customHeight="1">
      <c r="A70" s="8" t="s">
        <v>359</v>
      </c>
      <c r="B70" s="27">
        <v>800</v>
      </c>
      <c r="C70" s="26" t="s">
        <v>381</v>
      </c>
      <c r="D70" s="26" t="s">
        <v>386</v>
      </c>
      <c r="E70" s="27" t="s">
        <v>344</v>
      </c>
      <c r="F70" s="28"/>
      <c r="G70" s="10">
        <f t="shared" si="10"/>
        <v>20438</v>
      </c>
      <c r="H70" s="10">
        <f t="shared" si="10"/>
        <v>20438</v>
      </c>
      <c r="I70" s="10">
        <f t="shared" si="10"/>
        <v>20028</v>
      </c>
      <c r="J70" s="99">
        <f t="shared" si="0"/>
        <v>97.99393287014385</v>
      </c>
    </row>
    <row r="71" spans="1:10" ht="16.5" customHeight="1">
      <c r="A71" s="8" t="s">
        <v>232</v>
      </c>
      <c r="B71" s="27">
        <v>800</v>
      </c>
      <c r="C71" s="26" t="s">
        <v>381</v>
      </c>
      <c r="D71" s="26" t="s">
        <v>386</v>
      </c>
      <c r="E71" s="27" t="s">
        <v>344</v>
      </c>
      <c r="F71" s="28" t="s">
        <v>234</v>
      </c>
      <c r="G71" s="10">
        <f>31443-11005</f>
        <v>20438</v>
      </c>
      <c r="H71" s="10">
        <f>31443-11005</f>
        <v>20438</v>
      </c>
      <c r="I71" s="10">
        <v>20028</v>
      </c>
      <c r="J71" s="99">
        <f t="shared" si="0"/>
        <v>97.99393287014385</v>
      </c>
    </row>
    <row r="72" spans="1:10" ht="12" customHeight="1">
      <c r="A72" s="64"/>
      <c r="B72" s="26"/>
      <c r="C72" s="26"/>
      <c r="D72" s="26"/>
      <c r="E72" s="27"/>
      <c r="F72" s="28"/>
      <c r="G72" s="10"/>
      <c r="H72" s="10"/>
      <c r="I72" s="10"/>
      <c r="J72" s="99"/>
    </row>
    <row r="73" spans="1:10" ht="32.25" customHeight="1">
      <c r="A73" s="23" t="s">
        <v>555</v>
      </c>
      <c r="B73" s="27">
        <v>800</v>
      </c>
      <c r="C73" s="20" t="s">
        <v>381</v>
      </c>
      <c r="D73" s="20" t="s">
        <v>314</v>
      </c>
      <c r="E73" s="19"/>
      <c r="F73" s="21"/>
      <c r="G73" s="6">
        <f aca="true" t="shared" si="11" ref="G73:I75">G74</f>
        <v>300</v>
      </c>
      <c r="H73" s="6">
        <f t="shared" si="11"/>
        <v>300</v>
      </c>
      <c r="I73" s="6">
        <f t="shared" si="11"/>
        <v>300</v>
      </c>
      <c r="J73" s="99">
        <f t="shared" si="0"/>
        <v>100</v>
      </c>
    </row>
    <row r="74" spans="1:10" ht="32.25" customHeight="1">
      <c r="A74" s="23" t="s">
        <v>556</v>
      </c>
      <c r="B74" s="27">
        <v>800</v>
      </c>
      <c r="C74" s="20" t="s">
        <v>381</v>
      </c>
      <c r="D74" s="20" t="s">
        <v>314</v>
      </c>
      <c r="E74" s="19" t="s">
        <v>557</v>
      </c>
      <c r="F74" s="21"/>
      <c r="G74" s="6">
        <f t="shared" si="11"/>
        <v>300</v>
      </c>
      <c r="H74" s="6">
        <f t="shared" si="11"/>
        <v>300</v>
      </c>
      <c r="I74" s="6">
        <f t="shared" si="11"/>
        <v>300</v>
      </c>
      <c r="J74" s="99">
        <f t="shared" si="0"/>
        <v>100</v>
      </c>
    </row>
    <row r="75" spans="1:10" ht="16.5" customHeight="1">
      <c r="A75" s="64" t="s">
        <v>558</v>
      </c>
      <c r="B75" s="26" t="s">
        <v>554</v>
      </c>
      <c r="C75" s="26" t="s">
        <v>381</v>
      </c>
      <c r="D75" s="26" t="s">
        <v>314</v>
      </c>
      <c r="E75" s="27" t="s">
        <v>582</v>
      </c>
      <c r="F75" s="28"/>
      <c r="G75" s="10">
        <f t="shared" si="11"/>
        <v>300</v>
      </c>
      <c r="H75" s="10">
        <f t="shared" si="11"/>
        <v>300</v>
      </c>
      <c r="I75" s="10">
        <f t="shared" si="11"/>
        <v>300</v>
      </c>
      <c r="J75" s="99">
        <f t="shared" si="0"/>
        <v>100</v>
      </c>
    </row>
    <row r="76" spans="1:10" ht="16.5" customHeight="1">
      <c r="A76" s="60" t="s">
        <v>419</v>
      </c>
      <c r="B76" s="26" t="s">
        <v>554</v>
      </c>
      <c r="C76" s="26" t="s">
        <v>381</v>
      </c>
      <c r="D76" s="26" t="s">
        <v>314</v>
      </c>
      <c r="E76" s="27" t="s">
        <v>582</v>
      </c>
      <c r="F76" s="28" t="s">
        <v>420</v>
      </c>
      <c r="G76" s="10">
        <f>600-300</f>
        <v>300</v>
      </c>
      <c r="H76" s="10">
        <f>600-300</f>
        <v>300</v>
      </c>
      <c r="I76" s="10">
        <f>600-300</f>
        <v>300</v>
      </c>
      <c r="J76" s="99">
        <f t="shared" si="0"/>
        <v>100</v>
      </c>
    </row>
    <row r="77" spans="1:10" ht="12" customHeight="1">
      <c r="A77" s="64"/>
      <c r="B77" s="26"/>
      <c r="C77" s="26"/>
      <c r="D77" s="26"/>
      <c r="E77" s="27"/>
      <c r="F77" s="28"/>
      <c r="G77" s="10"/>
      <c r="H77" s="10"/>
      <c r="I77" s="10"/>
      <c r="J77" s="99"/>
    </row>
    <row r="78" spans="1:10" ht="17.25" customHeight="1">
      <c r="A78" s="62" t="s">
        <v>421</v>
      </c>
      <c r="B78" s="15">
        <v>800</v>
      </c>
      <c r="C78" s="30" t="s">
        <v>382</v>
      </c>
      <c r="D78" s="30"/>
      <c r="E78" s="30"/>
      <c r="F78" s="33"/>
      <c r="G78" s="5">
        <f>G79</f>
        <v>1058</v>
      </c>
      <c r="H78" s="5">
        <f>H79</f>
        <v>1058</v>
      </c>
      <c r="I78" s="5">
        <f>I79</f>
        <v>1048</v>
      </c>
      <c r="J78" s="103">
        <f aca="true" t="shared" si="12" ref="J78:J140">I78/H78*100</f>
        <v>99.05482041587902</v>
      </c>
    </row>
    <row r="79" spans="1:10" ht="16.5" customHeight="1">
      <c r="A79" s="31" t="s">
        <v>559</v>
      </c>
      <c r="B79" s="27">
        <v>800</v>
      </c>
      <c r="C79" s="20" t="s">
        <v>382</v>
      </c>
      <c r="D79" s="20" t="s">
        <v>385</v>
      </c>
      <c r="E79" s="19"/>
      <c r="F79" s="21"/>
      <c r="G79" s="10">
        <f>G85+G80+G82</f>
        <v>1058</v>
      </c>
      <c r="H79" s="10">
        <f>H85+H80+H82</f>
        <v>1058</v>
      </c>
      <c r="I79" s="10">
        <f>I85+I80+I82</f>
        <v>1048</v>
      </c>
      <c r="J79" s="99">
        <f t="shared" si="12"/>
        <v>99.05482041587902</v>
      </c>
    </row>
    <row r="80" spans="1:10" ht="16.5" customHeight="1">
      <c r="A80" s="31" t="s">
        <v>67</v>
      </c>
      <c r="B80" s="27">
        <v>800</v>
      </c>
      <c r="C80" s="20" t="s">
        <v>382</v>
      </c>
      <c r="D80" s="20" t="s">
        <v>385</v>
      </c>
      <c r="E80" s="19" t="s">
        <v>68</v>
      </c>
      <c r="F80" s="21"/>
      <c r="G80" s="10">
        <f>G81</f>
        <v>271</v>
      </c>
      <c r="H80" s="10">
        <f>H81</f>
        <v>271</v>
      </c>
      <c r="I80" s="10">
        <f>I81</f>
        <v>271</v>
      </c>
      <c r="J80" s="99">
        <f t="shared" si="12"/>
        <v>100</v>
      </c>
    </row>
    <row r="81" spans="1:10" ht="16.5" customHeight="1">
      <c r="A81" s="64" t="s">
        <v>422</v>
      </c>
      <c r="B81" s="27">
        <v>800</v>
      </c>
      <c r="C81" s="20" t="s">
        <v>382</v>
      </c>
      <c r="D81" s="20" t="s">
        <v>385</v>
      </c>
      <c r="E81" s="19" t="s">
        <v>69</v>
      </c>
      <c r="F81" s="21" t="s">
        <v>423</v>
      </c>
      <c r="G81" s="10">
        <v>271</v>
      </c>
      <c r="H81" s="10">
        <v>271</v>
      </c>
      <c r="I81" s="10">
        <v>271</v>
      </c>
      <c r="J81" s="99">
        <f t="shared" si="12"/>
        <v>100</v>
      </c>
    </row>
    <row r="82" spans="1:10" ht="16.5" customHeight="1">
      <c r="A82" s="31" t="s">
        <v>7</v>
      </c>
      <c r="B82" s="27">
        <v>800</v>
      </c>
      <c r="C82" s="20" t="s">
        <v>382</v>
      </c>
      <c r="D82" s="20" t="s">
        <v>385</v>
      </c>
      <c r="E82" s="19" t="s">
        <v>9</v>
      </c>
      <c r="F82" s="21"/>
      <c r="G82" s="10">
        <f aca="true" t="shared" si="13" ref="G82:I83">G83</f>
        <v>317</v>
      </c>
      <c r="H82" s="10">
        <f t="shared" si="13"/>
        <v>317</v>
      </c>
      <c r="I82" s="10">
        <f t="shared" si="13"/>
        <v>317</v>
      </c>
      <c r="J82" s="99">
        <f t="shared" si="12"/>
        <v>100</v>
      </c>
    </row>
    <row r="83" spans="1:10" ht="49.5" customHeight="1">
      <c r="A83" s="31" t="s">
        <v>81</v>
      </c>
      <c r="B83" s="27">
        <v>800</v>
      </c>
      <c r="C83" s="20" t="s">
        <v>382</v>
      </c>
      <c r="D83" s="20" t="s">
        <v>385</v>
      </c>
      <c r="E83" s="19" t="s">
        <v>70</v>
      </c>
      <c r="F83" s="21"/>
      <c r="G83" s="10">
        <f t="shared" si="13"/>
        <v>317</v>
      </c>
      <c r="H83" s="10">
        <f t="shared" si="13"/>
        <v>317</v>
      </c>
      <c r="I83" s="10">
        <f t="shared" si="13"/>
        <v>317</v>
      </c>
      <c r="J83" s="99">
        <f t="shared" si="12"/>
        <v>100</v>
      </c>
    </row>
    <row r="84" spans="1:10" ht="16.5" customHeight="1">
      <c r="A84" s="64" t="s">
        <v>422</v>
      </c>
      <c r="B84" s="27">
        <v>800</v>
      </c>
      <c r="C84" s="20" t="s">
        <v>382</v>
      </c>
      <c r="D84" s="20" t="s">
        <v>385</v>
      </c>
      <c r="E84" s="19" t="s">
        <v>70</v>
      </c>
      <c r="F84" s="21" t="s">
        <v>423</v>
      </c>
      <c r="G84" s="10">
        <v>317</v>
      </c>
      <c r="H84" s="10">
        <v>317</v>
      </c>
      <c r="I84" s="10">
        <v>317</v>
      </c>
      <c r="J84" s="99">
        <f t="shared" si="12"/>
        <v>100</v>
      </c>
    </row>
    <row r="85" spans="1:10" ht="16.5" customHeight="1">
      <c r="A85" s="23" t="s">
        <v>199</v>
      </c>
      <c r="B85" s="27">
        <v>800</v>
      </c>
      <c r="C85" s="20" t="s">
        <v>382</v>
      </c>
      <c r="D85" s="26" t="s">
        <v>385</v>
      </c>
      <c r="E85" s="27" t="s">
        <v>417</v>
      </c>
      <c r="F85" s="28"/>
      <c r="G85" s="10">
        <f>G86</f>
        <v>470</v>
      </c>
      <c r="H85" s="10">
        <f>H86</f>
        <v>470</v>
      </c>
      <c r="I85" s="10">
        <f>I86</f>
        <v>460</v>
      </c>
      <c r="J85" s="99">
        <f t="shared" si="12"/>
        <v>97.87234042553192</v>
      </c>
    </row>
    <row r="86" spans="1:10" ht="49.5" customHeight="1">
      <c r="A86" s="31" t="s">
        <v>560</v>
      </c>
      <c r="B86" s="27">
        <v>800</v>
      </c>
      <c r="C86" s="20" t="s">
        <v>382</v>
      </c>
      <c r="D86" s="26" t="s">
        <v>385</v>
      </c>
      <c r="E86" s="27" t="s">
        <v>347</v>
      </c>
      <c r="F86" s="28"/>
      <c r="G86" s="10">
        <f>G88+G87</f>
        <v>470</v>
      </c>
      <c r="H86" s="10">
        <f>H88+H87</f>
        <v>470</v>
      </c>
      <c r="I86" s="10">
        <f>I88+I87</f>
        <v>460</v>
      </c>
      <c r="J86" s="99">
        <f t="shared" si="12"/>
        <v>97.87234042553192</v>
      </c>
    </row>
    <row r="87" spans="1:10" ht="16.5" customHeight="1">
      <c r="A87" s="64" t="s">
        <v>422</v>
      </c>
      <c r="B87" s="27">
        <v>800</v>
      </c>
      <c r="C87" s="20" t="s">
        <v>382</v>
      </c>
      <c r="D87" s="26" t="s">
        <v>385</v>
      </c>
      <c r="E87" s="27" t="s">
        <v>347</v>
      </c>
      <c r="F87" s="28" t="s">
        <v>423</v>
      </c>
      <c r="G87" s="10">
        <f>550-300</f>
        <v>250</v>
      </c>
      <c r="H87" s="10">
        <v>350</v>
      </c>
      <c r="I87" s="10">
        <v>340</v>
      </c>
      <c r="J87" s="99">
        <f t="shared" si="12"/>
        <v>97.14285714285714</v>
      </c>
    </row>
    <row r="88" spans="1:28" s="86" customFormat="1" ht="16.5" customHeight="1">
      <c r="A88" s="60" t="s">
        <v>419</v>
      </c>
      <c r="B88" s="55">
        <v>800</v>
      </c>
      <c r="C88" s="57" t="s">
        <v>382</v>
      </c>
      <c r="D88" s="54" t="s">
        <v>385</v>
      </c>
      <c r="E88" s="55" t="s">
        <v>347</v>
      </c>
      <c r="F88" s="56" t="s">
        <v>420</v>
      </c>
      <c r="G88" s="88">
        <f>1095-875</f>
        <v>220</v>
      </c>
      <c r="H88" s="88">
        <v>120</v>
      </c>
      <c r="I88" s="88">
        <v>120</v>
      </c>
      <c r="J88" s="99">
        <f t="shared" si="12"/>
        <v>100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</row>
    <row r="89" spans="1:10" ht="12" customHeight="1">
      <c r="A89" s="64"/>
      <c r="B89" s="26"/>
      <c r="C89" s="26"/>
      <c r="D89" s="26"/>
      <c r="E89" s="27"/>
      <c r="F89" s="28"/>
      <c r="G89" s="10"/>
      <c r="H89" s="10"/>
      <c r="I89" s="10"/>
      <c r="J89" s="99"/>
    </row>
    <row r="90" spans="1:10" ht="16.5" customHeight="1">
      <c r="A90" s="65" t="s">
        <v>235</v>
      </c>
      <c r="B90" s="15">
        <v>800</v>
      </c>
      <c r="C90" s="30" t="s">
        <v>383</v>
      </c>
      <c r="D90" s="30"/>
      <c r="E90" s="30"/>
      <c r="F90" s="33"/>
      <c r="G90" s="5">
        <f aca="true" t="shared" si="14" ref="G90:I93">G91</f>
        <v>860</v>
      </c>
      <c r="H90" s="5">
        <f t="shared" si="14"/>
        <v>860</v>
      </c>
      <c r="I90" s="5">
        <f t="shared" si="14"/>
        <v>860</v>
      </c>
      <c r="J90" s="103">
        <f t="shared" si="12"/>
        <v>100</v>
      </c>
    </row>
    <row r="91" spans="1:10" ht="16.5" customHeight="1">
      <c r="A91" s="31" t="s">
        <v>236</v>
      </c>
      <c r="B91" s="27">
        <v>800</v>
      </c>
      <c r="C91" s="26" t="s">
        <v>383</v>
      </c>
      <c r="D91" s="26" t="s">
        <v>389</v>
      </c>
      <c r="E91" s="26"/>
      <c r="F91" s="28"/>
      <c r="G91" s="10">
        <f t="shared" si="14"/>
        <v>860</v>
      </c>
      <c r="H91" s="10">
        <f t="shared" si="14"/>
        <v>860</v>
      </c>
      <c r="I91" s="10">
        <f t="shared" si="14"/>
        <v>860</v>
      </c>
      <c r="J91" s="99">
        <f t="shared" si="12"/>
        <v>100</v>
      </c>
    </row>
    <row r="92" spans="1:10" ht="16.5" customHeight="1">
      <c r="A92" s="23" t="s">
        <v>199</v>
      </c>
      <c r="B92" s="27">
        <v>800</v>
      </c>
      <c r="C92" s="26" t="s">
        <v>383</v>
      </c>
      <c r="D92" s="26" t="s">
        <v>389</v>
      </c>
      <c r="E92" s="27" t="s">
        <v>417</v>
      </c>
      <c r="F92" s="28"/>
      <c r="G92" s="10">
        <f t="shared" si="14"/>
        <v>860</v>
      </c>
      <c r="H92" s="10">
        <f t="shared" si="14"/>
        <v>860</v>
      </c>
      <c r="I92" s="10">
        <f t="shared" si="14"/>
        <v>860</v>
      </c>
      <c r="J92" s="99">
        <f t="shared" si="12"/>
        <v>100</v>
      </c>
    </row>
    <row r="93" spans="1:10" ht="32.25" customHeight="1">
      <c r="A93" s="31" t="s">
        <v>494</v>
      </c>
      <c r="B93" s="27">
        <v>800</v>
      </c>
      <c r="C93" s="26" t="s">
        <v>383</v>
      </c>
      <c r="D93" s="26" t="s">
        <v>389</v>
      </c>
      <c r="E93" s="27" t="s">
        <v>237</v>
      </c>
      <c r="F93" s="28"/>
      <c r="G93" s="10">
        <f t="shared" si="14"/>
        <v>860</v>
      </c>
      <c r="H93" s="10">
        <f t="shared" si="14"/>
        <v>860</v>
      </c>
      <c r="I93" s="10">
        <f t="shared" si="14"/>
        <v>860</v>
      </c>
      <c r="J93" s="99">
        <f t="shared" si="12"/>
        <v>100</v>
      </c>
    </row>
    <row r="94" spans="1:10" ht="16.5" customHeight="1">
      <c r="A94" s="60" t="s">
        <v>565</v>
      </c>
      <c r="B94" s="27">
        <v>800</v>
      </c>
      <c r="C94" s="26" t="s">
        <v>383</v>
      </c>
      <c r="D94" s="26" t="s">
        <v>389</v>
      </c>
      <c r="E94" s="27" t="s">
        <v>237</v>
      </c>
      <c r="F94" s="28" t="s">
        <v>566</v>
      </c>
      <c r="G94" s="10">
        <f>2326-1466</f>
        <v>860</v>
      </c>
      <c r="H94" s="10">
        <f>2326-1466</f>
        <v>860</v>
      </c>
      <c r="I94" s="10">
        <f>2326-1466</f>
        <v>860</v>
      </c>
      <c r="J94" s="99">
        <f t="shared" si="12"/>
        <v>100</v>
      </c>
    </row>
    <row r="95" spans="1:10" ht="12" customHeight="1">
      <c r="A95" s="29"/>
      <c r="B95" s="27"/>
      <c r="C95" s="26"/>
      <c r="D95" s="26"/>
      <c r="E95" s="26"/>
      <c r="F95" s="28"/>
      <c r="G95" s="10"/>
      <c r="H95" s="10"/>
      <c r="I95" s="10"/>
      <c r="J95" s="99"/>
    </row>
    <row r="96" spans="1:10" ht="16.5" customHeight="1">
      <c r="A96" s="62" t="s">
        <v>238</v>
      </c>
      <c r="B96" s="15">
        <v>800</v>
      </c>
      <c r="C96" s="30" t="s">
        <v>384</v>
      </c>
      <c r="D96" s="30"/>
      <c r="E96" s="30"/>
      <c r="F96" s="33"/>
      <c r="G96" s="5">
        <f aca="true" t="shared" si="15" ref="G96:I99">G97</f>
        <v>162</v>
      </c>
      <c r="H96" s="5">
        <f t="shared" si="15"/>
        <v>162</v>
      </c>
      <c r="I96" s="5">
        <f t="shared" si="15"/>
        <v>162</v>
      </c>
      <c r="J96" s="103">
        <f t="shared" si="12"/>
        <v>100</v>
      </c>
    </row>
    <row r="97" spans="1:10" ht="16.5" customHeight="1">
      <c r="A97" s="31" t="s">
        <v>489</v>
      </c>
      <c r="B97" s="27">
        <v>800</v>
      </c>
      <c r="C97" s="26" t="s">
        <v>384</v>
      </c>
      <c r="D97" s="26" t="s">
        <v>384</v>
      </c>
      <c r="E97" s="26"/>
      <c r="F97" s="28"/>
      <c r="G97" s="10">
        <f t="shared" si="15"/>
        <v>162</v>
      </c>
      <c r="H97" s="10">
        <f t="shared" si="15"/>
        <v>162</v>
      </c>
      <c r="I97" s="10">
        <f t="shared" si="15"/>
        <v>162</v>
      </c>
      <c r="J97" s="99">
        <f t="shared" si="12"/>
        <v>100</v>
      </c>
    </row>
    <row r="98" spans="1:10" ht="16.5" customHeight="1">
      <c r="A98" s="23" t="s">
        <v>199</v>
      </c>
      <c r="B98" s="27">
        <v>800</v>
      </c>
      <c r="C98" s="26" t="s">
        <v>384</v>
      </c>
      <c r="D98" s="26" t="s">
        <v>384</v>
      </c>
      <c r="E98" s="26" t="s">
        <v>417</v>
      </c>
      <c r="F98" s="28"/>
      <c r="G98" s="10">
        <f t="shared" si="15"/>
        <v>162</v>
      </c>
      <c r="H98" s="10">
        <f t="shared" si="15"/>
        <v>162</v>
      </c>
      <c r="I98" s="10">
        <f t="shared" si="15"/>
        <v>162</v>
      </c>
      <c r="J98" s="99">
        <f t="shared" si="12"/>
        <v>100</v>
      </c>
    </row>
    <row r="99" spans="1:10" ht="32.25" customHeight="1">
      <c r="A99" s="60" t="s">
        <v>495</v>
      </c>
      <c r="B99" s="27">
        <v>800</v>
      </c>
      <c r="C99" s="26" t="s">
        <v>384</v>
      </c>
      <c r="D99" s="26" t="s">
        <v>384</v>
      </c>
      <c r="E99" s="26" t="s">
        <v>448</v>
      </c>
      <c r="F99" s="28"/>
      <c r="G99" s="10">
        <f t="shared" si="15"/>
        <v>162</v>
      </c>
      <c r="H99" s="10">
        <f t="shared" si="15"/>
        <v>162</v>
      </c>
      <c r="I99" s="10">
        <f t="shared" si="15"/>
        <v>162</v>
      </c>
      <c r="J99" s="99">
        <f t="shared" si="12"/>
        <v>100</v>
      </c>
    </row>
    <row r="100" spans="1:10" ht="32.25" customHeight="1">
      <c r="A100" s="60" t="s">
        <v>490</v>
      </c>
      <c r="B100" s="27">
        <v>800</v>
      </c>
      <c r="C100" s="26" t="s">
        <v>384</v>
      </c>
      <c r="D100" s="26" t="s">
        <v>384</v>
      </c>
      <c r="E100" s="26" t="s">
        <v>448</v>
      </c>
      <c r="F100" s="28" t="s">
        <v>367</v>
      </c>
      <c r="G100" s="10">
        <f>324-324+162</f>
        <v>162</v>
      </c>
      <c r="H100" s="10">
        <f>324-324+162</f>
        <v>162</v>
      </c>
      <c r="I100" s="10">
        <f>324-324+162</f>
        <v>162</v>
      </c>
      <c r="J100" s="99">
        <f t="shared" si="12"/>
        <v>100</v>
      </c>
    </row>
    <row r="101" spans="1:10" ht="12" customHeight="1">
      <c r="A101" s="64"/>
      <c r="B101" s="26"/>
      <c r="C101" s="26"/>
      <c r="D101" s="26"/>
      <c r="E101" s="27"/>
      <c r="F101" s="28"/>
      <c r="G101" s="10"/>
      <c r="H101" s="10"/>
      <c r="I101" s="10"/>
      <c r="J101" s="99"/>
    </row>
    <row r="102" spans="1:10" ht="28.5" customHeight="1">
      <c r="A102" s="24" t="s">
        <v>568</v>
      </c>
      <c r="B102" s="15">
        <v>801</v>
      </c>
      <c r="C102" s="16"/>
      <c r="D102" s="16"/>
      <c r="E102" s="17"/>
      <c r="F102" s="18"/>
      <c r="G102" s="5">
        <f>G110+G103</f>
        <v>9636</v>
      </c>
      <c r="H102" s="5">
        <f>H110+H103</f>
        <v>10218</v>
      </c>
      <c r="I102" s="5">
        <f>I110+I103</f>
        <v>10081</v>
      </c>
      <c r="J102" s="103">
        <f t="shared" si="12"/>
        <v>98.65922881190056</v>
      </c>
    </row>
    <row r="103" spans="1:10" ht="32.25" customHeight="1">
      <c r="A103" s="62" t="s">
        <v>415</v>
      </c>
      <c r="B103" s="15">
        <v>801</v>
      </c>
      <c r="C103" s="30" t="s">
        <v>381</v>
      </c>
      <c r="D103" s="30"/>
      <c r="E103" s="30"/>
      <c r="F103" s="33"/>
      <c r="G103" s="5">
        <f aca="true" t="shared" si="16" ref="G103:I107">G104</f>
        <v>0</v>
      </c>
      <c r="H103" s="5">
        <f t="shared" si="16"/>
        <v>13</v>
      </c>
      <c r="I103" s="5">
        <f t="shared" si="16"/>
        <v>13</v>
      </c>
      <c r="J103" s="103">
        <f t="shared" si="12"/>
        <v>100</v>
      </c>
    </row>
    <row r="104" spans="1:10" ht="32.25" customHeight="1">
      <c r="A104" s="31" t="s">
        <v>339</v>
      </c>
      <c r="B104" s="19">
        <v>801</v>
      </c>
      <c r="C104" s="20" t="s">
        <v>381</v>
      </c>
      <c r="D104" s="20" t="s">
        <v>386</v>
      </c>
      <c r="E104" s="19"/>
      <c r="F104" s="21"/>
      <c r="G104" s="6">
        <f t="shared" si="16"/>
        <v>0</v>
      </c>
      <c r="H104" s="6">
        <f t="shared" si="16"/>
        <v>13</v>
      </c>
      <c r="I104" s="6">
        <f t="shared" si="16"/>
        <v>13</v>
      </c>
      <c r="J104" s="99">
        <f t="shared" si="12"/>
        <v>100</v>
      </c>
    </row>
    <row r="105" spans="1:10" ht="16.5" customHeight="1">
      <c r="A105" s="60" t="s">
        <v>371</v>
      </c>
      <c r="B105" s="26" t="s">
        <v>570</v>
      </c>
      <c r="C105" s="26" t="s">
        <v>381</v>
      </c>
      <c r="D105" s="26" t="s">
        <v>386</v>
      </c>
      <c r="E105" s="19" t="s">
        <v>427</v>
      </c>
      <c r="F105" s="39"/>
      <c r="G105" s="6">
        <f t="shared" si="16"/>
        <v>0</v>
      </c>
      <c r="H105" s="6">
        <f t="shared" si="16"/>
        <v>13</v>
      </c>
      <c r="I105" s="6">
        <f t="shared" si="16"/>
        <v>13</v>
      </c>
      <c r="J105" s="99">
        <f t="shared" si="12"/>
        <v>100</v>
      </c>
    </row>
    <row r="106" spans="1:10" ht="16.5" customHeight="1">
      <c r="A106" s="8" t="s">
        <v>426</v>
      </c>
      <c r="B106" s="26" t="s">
        <v>570</v>
      </c>
      <c r="C106" s="26" t="s">
        <v>381</v>
      </c>
      <c r="D106" s="26" t="s">
        <v>386</v>
      </c>
      <c r="E106" s="26" t="s">
        <v>428</v>
      </c>
      <c r="F106" s="21"/>
      <c r="G106" s="6">
        <f t="shared" si="16"/>
        <v>0</v>
      </c>
      <c r="H106" s="6">
        <f t="shared" si="16"/>
        <v>13</v>
      </c>
      <c r="I106" s="6">
        <f t="shared" si="16"/>
        <v>13</v>
      </c>
      <c r="J106" s="99">
        <f t="shared" si="12"/>
        <v>100</v>
      </c>
    </row>
    <row r="107" spans="1:10" ht="16.5" customHeight="1">
      <c r="A107" s="67" t="s">
        <v>469</v>
      </c>
      <c r="B107" s="26" t="s">
        <v>570</v>
      </c>
      <c r="C107" s="26" t="s">
        <v>381</v>
      </c>
      <c r="D107" s="26" t="s">
        <v>386</v>
      </c>
      <c r="E107" s="26" t="s">
        <v>311</v>
      </c>
      <c r="F107" s="21"/>
      <c r="G107" s="6">
        <f t="shared" si="16"/>
        <v>0</v>
      </c>
      <c r="H107" s="6">
        <f t="shared" si="16"/>
        <v>13</v>
      </c>
      <c r="I107" s="6">
        <f t="shared" si="16"/>
        <v>13</v>
      </c>
      <c r="J107" s="99">
        <f t="shared" si="12"/>
        <v>100</v>
      </c>
    </row>
    <row r="108" spans="1:10" ht="32.25" customHeight="1">
      <c r="A108" s="23" t="s">
        <v>327</v>
      </c>
      <c r="B108" s="26" t="s">
        <v>570</v>
      </c>
      <c r="C108" s="26" t="s">
        <v>381</v>
      </c>
      <c r="D108" s="26" t="s">
        <v>386</v>
      </c>
      <c r="E108" s="26" t="s">
        <v>311</v>
      </c>
      <c r="F108" s="21" t="s">
        <v>315</v>
      </c>
      <c r="G108" s="6">
        <v>0</v>
      </c>
      <c r="H108" s="6">
        <v>13</v>
      </c>
      <c r="I108" s="6">
        <v>13</v>
      </c>
      <c r="J108" s="99">
        <f t="shared" si="12"/>
        <v>100</v>
      </c>
    </row>
    <row r="109" spans="1:10" ht="12" customHeight="1">
      <c r="A109" s="24"/>
      <c r="B109" s="15"/>
      <c r="C109" s="16"/>
      <c r="D109" s="16"/>
      <c r="E109" s="17"/>
      <c r="F109" s="18"/>
      <c r="G109" s="5"/>
      <c r="H109" s="5"/>
      <c r="I109" s="5"/>
      <c r="J109" s="99"/>
    </row>
    <row r="110" spans="1:10" ht="16.5" customHeight="1">
      <c r="A110" s="62" t="s">
        <v>206</v>
      </c>
      <c r="B110" s="15">
        <v>801</v>
      </c>
      <c r="C110" s="16" t="s">
        <v>389</v>
      </c>
      <c r="D110" s="16"/>
      <c r="E110" s="17"/>
      <c r="F110" s="18"/>
      <c r="G110" s="5">
        <f>G111</f>
        <v>9636</v>
      </c>
      <c r="H110" s="5">
        <f>H111</f>
        <v>10205</v>
      </c>
      <c r="I110" s="5">
        <f>I111</f>
        <v>10068</v>
      </c>
      <c r="J110" s="103">
        <f t="shared" si="12"/>
        <v>98.65752082312592</v>
      </c>
    </row>
    <row r="111" spans="1:10" ht="16.5" customHeight="1">
      <c r="A111" s="23" t="s">
        <v>200</v>
      </c>
      <c r="B111" s="27">
        <v>801</v>
      </c>
      <c r="C111" s="26" t="s">
        <v>389</v>
      </c>
      <c r="D111" s="26" t="s">
        <v>381</v>
      </c>
      <c r="E111" s="27"/>
      <c r="F111" s="28"/>
      <c r="G111" s="10">
        <f>G116+G123+G112</f>
        <v>9636</v>
      </c>
      <c r="H111" s="10">
        <f>H116+H123+H112</f>
        <v>10205</v>
      </c>
      <c r="I111" s="10">
        <f>I116+I123+I112</f>
        <v>10068</v>
      </c>
      <c r="J111" s="99">
        <f t="shared" si="12"/>
        <v>98.65752082312592</v>
      </c>
    </row>
    <row r="112" spans="1:10" ht="16.5" customHeight="1">
      <c r="A112" s="60" t="s">
        <v>371</v>
      </c>
      <c r="B112" s="26" t="s">
        <v>570</v>
      </c>
      <c r="C112" s="26" t="s">
        <v>389</v>
      </c>
      <c r="D112" s="26" t="s">
        <v>381</v>
      </c>
      <c r="E112" s="19" t="s">
        <v>427</v>
      </c>
      <c r="F112" s="39"/>
      <c r="G112" s="10">
        <f aca="true" t="shared" si="17" ref="G112:I114">G113</f>
        <v>0</v>
      </c>
      <c r="H112" s="10">
        <f t="shared" si="17"/>
        <v>569</v>
      </c>
      <c r="I112" s="10">
        <f t="shared" si="17"/>
        <v>569</v>
      </c>
      <c r="J112" s="99">
        <f t="shared" si="12"/>
        <v>100</v>
      </c>
    </row>
    <row r="113" spans="1:10" ht="16.5" customHeight="1">
      <c r="A113" s="8" t="s">
        <v>426</v>
      </c>
      <c r="B113" s="26" t="s">
        <v>570</v>
      </c>
      <c r="C113" s="26" t="s">
        <v>389</v>
      </c>
      <c r="D113" s="26" t="s">
        <v>381</v>
      </c>
      <c r="E113" s="26" t="s">
        <v>428</v>
      </c>
      <c r="F113" s="21"/>
      <c r="G113" s="10">
        <f t="shared" si="17"/>
        <v>0</v>
      </c>
      <c r="H113" s="10">
        <f t="shared" si="17"/>
        <v>569</v>
      </c>
      <c r="I113" s="10">
        <f t="shared" si="17"/>
        <v>569</v>
      </c>
      <c r="J113" s="99">
        <f t="shared" si="12"/>
        <v>100</v>
      </c>
    </row>
    <row r="114" spans="1:10" ht="16.5" customHeight="1">
      <c r="A114" s="67" t="s">
        <v>469</v>
      </c>
      <c r="B114" s="26" t="s">
        <v>570</v>
      </c>
      <c r="C114" s="26" t="s">
        <v>389</v>
      </c>
      <c r="D114" s="26" t="s">
        <v>381</v>
      </c>
      <c r="E114" s="26" t="s">
        <v>311</v>
      </c>
      <c r="F114" s="21"/>
      <c r="G114" s="10">
        <f t="shared" si="17"/>
        <v>0</v>
      </c>
      <c r="H114" s="10">
        <f t="shared" si="17"/>
        <v>569</v>
      </c>
      <c r="I114" s="10">
        <f t="shared" si="17"/>
        <v>569</v>
      </c>
      <c r="J114" s="99">
        <f t="shared" si="12"/>
        <v>100</v>
      </c>
    </row>
    <row r="115" spans="1:10" ht="16.5" customHeight="1">
      <c r="A115" s="60" t="s">
        <v>419</v>
      </c>
      <c r="B115" s="26" t="s">
        <v>570</v>
      </c>
      <c r="C115" s="26" t="s">
        <v>389</v>
      </c>
      <c r="D115" s="26" t="s">
        <v>381</v>
      </c>
      <c r="E115" s="26" t="s">
        <v>311</v>
      </c>
      <c r="F115" s="21" t="s">
        <v>420</v>
      </c>
      <c r="G115" s="10">
        <v>0</v>
      </c>
      <c r="H115" s="10">
        <v>569</v>
      </c>
      <c r="I115" s="10">
        <v>569</v>
      </c>
      <c r="J115" s="99">
        <f t="shared" si="12"/>
        <v>100</v>
      </c>
    </row>
    <row r="116" spans="1:10" ht="16.5" customHeight="1">
      <c r="A116" s="23" t="s">
        <v>200</v>
      </c>
      <c r="B116" s="27">
        <v>801</v>
      </c>
      <c r="C116" s="26" t="s">
        <v>389</v>
      </c>
      <c r="D116" s="26" t="s">
        <v>381</v>
      </c>
      <c r="E116" s="27" t="s">
        <v>226</v>
      </c>
      <c r="F116" s="28"/>
      <c r="G116" s="10">
        <f>G117+G119+G121</f>
        <v>9561</v>
      </c>
      <c r="H116" s="10">
        <f>H117+H119+H121</f>
        <v>9561</v>
      </c>
      <c r="I116" s="10">
        <f>I117+I119+I121</f>
        <v>9425</v>
      </c>
      <c r="J116" s="99">
        <f t="shared" si="12"/>
        <v>98.57755464909528</v>
      </c>
    </row>
    <row r="117" spans="1:10" ht="16.5" customHeight="1">
      <c r="A117" s="23" t="s">
        <v>413</v>
      </c>
      <c r="B117" s="27">
        <v>801</v>
      </c>
      <c r="C117" s="26" t="s">
        <v>389</v>
      </c>
      <c r="D117" s="26" t="s">
        <v>381</v>
      </c>
      <c r="E117" s="19" t="s">
        <v>432</v>
      </c>
      <c r="F117" s="21"/>
      <c r="G117" s="10">
        <f>G118</f>
        <v>2651</v>
      </c>
      <c r="H117" s="10">
        <f>H118</f>
        <v>2552</v>
      </c>
      <c r="I117" s="10">
        <f>I118</f>
        <v>2551</v>
      </c>
      <c r="J117" s="99">
        <f t="shared" si="12"/>
        <v>99.96081504702194</v>
      </c>
    </row>
    <row r="118" spans="1:10" ht="16.5" customHeight="1">
      <c r="A118" s="60" t="s">
        <v>419</v>
      </c>
      <c r="B118" s="27">
        <v>801</v>
      </c>
      <c r="C118" s="26" t="s">
        <v>389</v>
      </c>
      <c r="D118" s="26" t="s">
        <v>381</v>
      </c>
      <c r="E118" s="19" t="s">
        <v>432</v>
      </c>
      <c r="F118" s="21" t="s">
        <v>420</v>
      </c>
      <c r="G118" s="10">
        <f>5890-1890-900-449</f>
        <v>2651</v>
      </c>
      <c r="H118" s="10">
        <v>2552</v>
      </c>
      <c r="I118" s="10">
        <v>2551</v>
      </c>
      <c r="J118" s="99">
        <f t="shared" si="12"/>
        <v>99.96081504702194</v>
      </c>
    </row>
    <row r="119" spans="1:10" ht="16.5" customHeight="1">
      <c r="A119" s="23" t="s">
        <v>203</v>
      </c>
      <c r="B119" s="27">
        <v>801</v>
      </c>
      <c r="C119" s="20" t="s">
        <v>389</v>
      </c>
      <c r="D119" s="20" t="s">
        <v>381</v>
      </c>
      <c r="E119" s="19" t="s">
        <v>229</v>
      </c>
      <c r="F119" s="21"/>
      <c r="G119" s="10">
        <f>G120</f>
        <v>260</v>
      </c>
      <c r="H119" s="10">
        <f>H120</f>
        <v>260</v>
      </c>
      <c r="I119" s="10">
        <f>I120</f>
        <v>179</v>
      </c>
      <c r="J119" s="99">
        <f t="shared" si="12"/>
        <v>68.84615384615384</v>
      </c>
    </row>
    <row r="120" spans="1:10" ht="16.5" customHeight="1">
      <c r="A120" s="60" t="s">
        <v>419</v>
      </c>
      <c r="B120" s="27">
        <v>801</v>
      </c>
      <c r="C120" s="20" t="s">
        <v>389</v>
      </c>
      <c r="D120" s="20" t="s">
        <v>381</v>
      </c>
      <c r="E120" s="19" t="s">
        <v>229</v>
      </c>
      <c r="F120" s="21" t="s">
        <v>420</v>
      </c>
      <c r="G120" s="10">
        <f>1500-1240</f>
        <v>260</v>
      </c>
      <c r="H120" s="10">
        <f>1500-1240</f>
        <v>260</v>
      </c>
      <c r="I120" s="10">
        <v>179</v>
      </c>
      <c r="J120" s="99">
        <f t="shared" si="12"/>
        <v>68.84615384615384</v>
      </c>
    </row>
    <row r="121" spans="1:10" ht="32.25" customHeight="1">
      <c r="A121" s="8" t="s">
        <v>201</v>
      </c>
      <c r="B121" s="27">
        <v>801</v>
      </c>
      <c r="C121" s="26" t="s">
        <v>389</v>
      </c>
      <c r="D121" s="26" t="s">
        <v>381</v>
      </c>
      <c r="E121" s="19" t="s">
        <v>431</v>
      </c>
      <c r="F121" s="21"/>
      <c r="G121" s="10">
        <f>G122</f>
        <v>6650</v>
      </c>
      <c r="H121" s="10">
        <f>H122</f>
        <v>6749</v>
      </c>
      <c r="I121" s="10">
        <f>I122</f>
        <v>6695</v>
      </c>
      <c r="J121" s="99">
        <f t="shared" si="12"/>
        <v>99.19988146392058</v>
      </c>
    </row>
    <row r="122" spans="1:10" ht="16.5" customHeight="1">
      <c r="A122" s="60" t="s">
        <v>419</v>
      </c>
      <c r="B122" s="27">
        <v>801</v>
      </c>
      <c r="C122" s="26" t="s">
        <v>389</v>
      </c>
      <c r="D122" s="26" t="s">
        <v>381</v>
      </c>
      <c r="E122" s="19" t="s">
        <v>431</v>
      </c>
      <c r="F122" s="21" t="s">
        <v>420</v>
      </c>
      <c r="G122" s="10">
        <f>12360-5958+900+449-192-909</f>
        <v>6650</v>
      </c>
      <c r="H122" s="10">
        <v>6749</v>
      </c>
      <c r="I122" s="10">
        <v>6695</v>
      </c>
      <c r="J122" s="99">
        <f t="shared" si="12"/>
        <v>99.19988146392058</v>
      </c>
    </row>
    <row r="123" spans="1:10" ht="16.5" customHeight="1">
      <c r="A123" s="23" t="s">
        <v>199</v>
      </c>
      <c r="B123" s="19">
        <v>801</v>
      </c>
      <c r="C123" s="20" t="s">
        <v>389</v>
      </c>
      <c r="D123" s="26" t="s">
        <v>381</v>
      </c>
      <c r="E123" s="19" t="s">
        <v>417</v>
      </c>
      <c r="F123" s="21"/>
      <c r="G123" s="10">
        <f>G124+G126+G128</f>
        <v>75</v>
      </c>
      <c r="H123" s="10">
        <f>H124+H126+H128</f>
        <v>75</v>
      </c>
      <c r="I123" s="10">
        <f>I124+I126+I128</f>
        <v>74</v>
      </c>
      <c r="J123" s="99">
        <f t="shared" si="12"/>
        <v>98.66666666666667</v>
      </c>
    </row>
    <row r="124" spans="1:10" ht="32.25" customHeight="1">
      <c r="A124" s="31" t="s">
        <v>567</v>
      </c>
      <c r="B124" s="19">
        <v>801</v>
      </c>
      <c r="C124" s="20" t="s">
        <v>389</v>
      </c>
      <c r="D124" s="26" t="s">
        <v>381</v>
      </c>
      <c r="E124" s="19" t="s">
        <v>215</v>
      </c>
      <c r="F124" s="21"/>
      <c r="G124" s="10">
        <f>G125</f>
        <v>75</v>
      </c>
      <c r="H124" s="10">
        <f>H125</f>
        <v>75</v>
      </c>
      <c r="I124" s="10">
        <f>I125</f>
        <v>74</v>
      </c>
      <c r="J124" s="99">
        <f t="shared" si="12"/>
        <v>98.66666666666667</v>
      </c>
    </row>
    <row r="125" spans="1:10" ht="16.5" customHeight="1">
      <c r="A125" s="60" t="s">
        <v>419</v>
      </c>
      <c r="B125" s="19">
        <v>801</v>
      </c>
      <c r="C125" s="20" t="s">
        <v>389</v>
      </c>
      <c r="D125" s="26" t="s">
        <v>381</v>
      </c>
      <c r="E125" s="19" t="s">
        <v>215</v>
      </c>
      <c r="F125" s="21" t="s">
        <v>420</v>
      </c>
      <c r="G125" s="10">
        <f>75-75+75</f>
        <v>75</v>
      </c>
      <c r="H125" s="10">
        <f>75-75+75</f>
        <v>75</v>
      </c>
      <c r="I125" s="10">
        <v>74</v>
      </c>
      <c r="J125" s="99">
        <f t="shared" si="12"/>
        <v>98.66666666666667</v>
      </c>
    </row>
    <row r="126" spans="1:10" ht="48.75" customHeight="1" hidden="1">
      <c r="A126" s="64" t="s">
        <v>569</v>
      </c>
      <c r="B126" s="26" t="s">
        <v>570</v>
      </c>
      <c r="C126" s="26" t="s">
        <v>389</v>
      </c>
      <c r="D126" s="26" t="s">
        <v>381</v>
      </c>
      <c r="E126" s="27" t="s">
        <v>480</v>
      </c>
      <c r="F126" s="28"/>
      <c r="G126" s="10">
        <f>G127</f>
        <v>0</v>
      </c>
      <c r="H126" s="10">
        <f>H127</f>
        <v>0</v>
      </c>
      <c r="I126" s="10">
        <f>I127</f>
        <v>0</v>
      </c>
      <c r="J126" s="99" t="e">
        <f t="shared" si="12"/>
        <v>#DIV/0!</v>
      </c>
    </row>
    <row r="127" spans="1:10" ht="17.25" customHeight="1" hidden="1">
      <c r="A127" s="60" t="s">
        <v>419</v>
      </c>
      <c r="B127" s="26" t="s">
        <v>570</v>
      </c>
      <c r="C127" s="26" t="s">
        <v>389</v>
      </c>
      <c r="D127" s="26" t="s">
        <v>381</v>
      </c>
      <c r="E127" s="27" t="s">
        <v>480</v>
      </c>
      <c r="F127" s="28" t="s">
        <v>420</v>
      </c>
      <c r="G127" s="10">
        <f>173-173+173-173+173-173</f>
        <v>0</v>
      </c>
      <c r="H127" s="10">
        <f>173-173+173-173+173-173</f>
        <v>0</v>
      </c>
      <c r="I127" s="10">
        <f>173-173+173-173+173-173</f>
        <v>0</v>
      </c>
      <c r="J127" s="99" t="e">
        <f t="shared" si="12"/>
        <v>#DIV/0!</v>
      </c>
    </row>
    <row r="128" spans="1:10" ht="48" customHeight="1" hidden="1">
      <c r="A128" s="64" t="s">
        <v>499</v>
      </c>
      <c r="B128" s="26" t="s">
        <v>570</v>
      </c>
      <c r="C128" s="26" t="s">
        <v>389</v>
      </c>
      <c r="D128" s="26" t="s">
        <v>381</v>
      </c>
      <c r="E128" s="27" t="s">
        <v>481</v>
      </c>
      <c r="F128" s="28"/>
      <c r="G128" s="10">
        <f>G129</f>
        <v>0</v>
      </c>
      <c r="H128" s="10">
        <f>H129</f>
        <v>0</v>
      </c>
      <c r="I128" s="10">
        <f>I129</f>
        <v>0</v>
      </c>
      <c r="J128" s="99" t="e">
        <f t="shared" si="12"/>
        <v>#DIV/0!</v>
      </c>
    </row>
    <row r="129" spans="1:10" ht="17.25" customHeight="1" hidden="1">
      <c r="A129" s="60" t="s">
        <v>419</v>
      </c>
      <c r="B129" s="26" t="s">
        <v>570</v>
      </c>
      <c r="C129" s="26" t="s">
        <v>389</v>
      </c>
      <c r="D129" s="26" t="s">
        <v>381</v>
      </c>
      <c r="E129" s="27" t="s">
        <v>481</v>
      </c>
      <c r="F129" s="28" t="s">
        <v>420</v>
      </c>
      <c r="G129" s="10">
        <f>770-770</f>
        <v>0</v>
      </c>
      <c r="H129" s="10">
        <f>770-770</f>
        <v>0</v>
      </c>
      <c r="I129" s="10">
        <f>770-770</f>
        <v>0</v>
      </c>
      <c r="J129" s="99" t="e">
        <f t="shared" si="12"/>
        <v>#DIV/0!</v>
      </c>
    </row>
    <row r="130" spans="1:10" ht="12" customHeight="1">
      <c r="A130" s="64"/>
      <c r="B130" s="26"/>
      <c r="C130" s="26"/>
      <c r="D130" s="26"/>
      <c r="E130" s="27"/>
      <c r="F130" s="28"/>
      <c r="G130" s="10"/>
      <c r="H130" s="10"/>
      <c r="I130" s="10"/>
      <c r="J130" s="99"/>
    </row>
    <row r="131" spans="1:10" ht="28.5" customHeight="1">
      <c r="A131" s="24" t="s">
        <v>571</v>
      </c>
      <c r="B131" s="15">
        <v>802</v>
      </c>
      <c r="C131" s="16"/>
      <c r="D131" s="16"/>
      <c r="E131" s="17"/>
      <c r="F131" s="18"/>
      <c r="G131" s="5">
        <f aca="true" t="shared" si="18" ref="G131:I132">G132</f>
        <v>5453</v>
      </c>
      <c r="H131" s="5">
        <f t="shared" si="18"/>
        <v>5653</v>
      </c>
      <c r="I131" s="5">
        <f t="shared" si="18"/>
        <v>5650</v>
      </c>
      <c r="J131" s="103">
        <f t="shared" si="12"/>
        <v>99.94693083318592</v>
      </c>
    </row>
    <row r="132" spans="1:10" ht="16.5" customHeight="1">
      <c r="A132" s="62" t="s">
        <v>206</v>
      </c>
      <c r="B132" s="15">
        <v>802</v>
      </c>
      <c r="C132" s="16" t="s">
        <v>389</v>
      </c>
      <c r="D132" s="16"/>
      <c r="E132" s="17"/>
      <c r="F132" s="18"/>
      <c r="G132" s="5">
        <f t="shared" si="18"/>
        <v>5453</v>
      </c>
      <c r="H132" s="5">
        <f t="shared" si="18"/>
        <v>5653</v>
      </c>
      <c r="I132" s="5">
        <f t="shared" si="18"/>
        <v>5650</v>
      </c>
      <c r="J132" s="103">
        <f t="shared" si="12"/>
        <v>99.94693083318592</v>
      </c>
    </row>
    <row r="133" spans="1:10" ht="16.5" customHeight="1">
      <c r="A133" s="23" t="s">
        <v>200</v>
      </c>
      <c r="B133" s="27">
        <v>802</v>
      </c>
      <c r="C133" s="26" t="s">
        <v>389</v>
      </c>
      <c r="D133" s="26" t="s">
        <v>381</v>
      </c>
      <c r="E133" s="27"/>
      <c r="F133" s="28"/>
      <c r="G133" s="10">
        <f>G138+G147+G134</f>
        <v>5453</v>
      </c>
      <c r="H133" s="10">
        <f>H138+H147+H134</f>
        <v>5653</v>
      </c>
      <c r="I133" s="10">
        <f>I138+I147+I134</f>
        <v>5650</v>
      </c>
      <c r="J133" s="99">
        <f t="shared" si="12"/>
        <v>99.94693083318592</v>
      </c>
    </row>
    <row r="134" spans="1:10" ht="16.5" customHeight="1">
      <c r="A134" s="60" t="s">
        <v>371</v>
      </c>
      <c r="B134" s="26" t="s">
        <v>283</v>
      </c>
      <c r="C134" s="26" t="s">
        <v>389</v>
      </c>
      <c r="D134" s="26" t="s">
        <v>381</v>
      </c>
      <c r="E134" s="19" t="s">
        <v>427</v>
      </c>
      <c r="F134" s="39"/>
      <c r="G134" s="10">
        <f aca="true" t="shared" si="19" ref="G134:I136">G135</f>
        <v>0</v>
      </c>
      <c r="H134" s="10">
        <f t="shared" si="19"/>
        <v>200</v>
      </c>
      <c r="I134" s="10">
        <f t="shared" si="19"/>
        <v>200</v>
      </c>
      <c r="J134" s="99">
        <f t="shared" si="12"/>
        <v>100</v>
      </c>
    </row>
    <row r="135" spans="1:10" ht="16.5" customHeight="1">
      <c r="A135" s="8" t="s">
        <v>426</v>
      </c>
      <c r="B135" s="26" t="s">
        <v>283</v>
      </c>
      <c r="C135" s="26" t="s">
        <v>389</v>
      </c>
      <c r="D135" s="26" t="s">
        <v>381</v>
      </c>
      <c r="E135" s="26" t="s">
        <v>428</v>
      </c>
      <c r="F135" s="21"/>
      <c r="G135" s="10">
        <f t="shared" si="19"/>
        <v>0</v>
      </c>
      <c r="H135" s="10">
        <f t="shared" si="19"/>
        <v>200</v>
      </c>
      <c r="I135" s="10">
        <f t="shared" si="19"/>
        <v>200</v>
      </c>
      <c r="J135" s="99">
        <f t="shared" si="12"/>
        <v>100</v>
      </c>
    </row>
    <row r="136" spans="1:10" ht="16.5" customHeight="1">
      <c r="A136" s="67" t="s">
        <v>469</v>
      </c>
      <c r="B136" s="26" t="s">
        <v>283</v>
      </c>
      <c r="C136" s="26" t="s">
        <v>389</v>
      </c>
      <c r="D136" s="26" t="s">
        <v>381</v>
      </c>
      <c r="E136" s="26" t="s">
        <v>311</v>
      </c>
      <c r="F136" s="21"/>
      <c r="G136" s="10">
        <f t="shared" si="19"/>
        <v>0</v>
      </c>
      <c r="H136" s="10">
        <f t="shared" si="19"/>
        <v>200</v>
      </c>
      <c r="I136" s="10">
        <f t="shared" si="19"/>
        <v>200</v>
      </c>
      <c r="J136" s="99">
        <f t="shared" si="12"/>
        <v>100</v>
      </c>
    </row>
    <row r="137" spans="1:10" ht="16.5" customHeight="1">
      <c r="A137" s="60" t="s">
        <v>419</v>
      </c>
      <c r="B137" s="26" t="s">
        <v>283</v>
      </c>
      <c r="C137" s="26" t="s">
        <v>389</v>
      </c>
      <c r="D137" s="26" t="s">
        <v>381</v>
      </c>
      <c r="E137" s="26" t="s">
        <v>311</v>
      </c>
      <c r="F137" s="21" t="s">
        <v>420</v>
      </c>
      <c r="G137" s="10">
        <v>0</v>
      </c>
      <c r="H137" s="10">
        <v>200</v>
      </c>
      <c r="I137" s="10">
        <v>200</v>
      </c>
      <c r="J137" s="99">
        <f t="shared" si="12"/>
        <v>100</v>
      </c>
    </row>
    <row r="138" spans="1:10" ht="16.5" customHeight="1">
      <c r="A138" s="23" t="s">
        <v>200</v>
      </c>
      <c r="B138" s="27">
        <v>802</v>
      </c>
      <c r="C138" s="26" t="s">
        <v>389</v>
      </c>
      <c r="D138" s="26" t="s">
        <v>381</v>
      </c>
      <c r="E138" s="27" t="s">
        <v>226</v>
      </c>
      <c r="F138" s="28"/>
      <c r="G138" s="10">
        <f>G139+G141+G143+G145</f>
        <v>5378</v>
      </c>
      <c r="H138" s="10">
        <f>H139+H141+H143+H145</f>
        <v>5378</v>
      </c>
      <c r="I138" s="10">
        <f>I139+I141+I143+I145</f>
        <v>5375</v>
      </c>
      <c r="J138" s="99">
        <f t="shared" si="12"/>
        <v>99.94421718110821</v>
      </c>
    </row>
    <row r="139" spans="1:10" ht="16.5" customHeight="1">
      <c r="A139" s="23" t="s">
        <v>413</v>
      </c>
      <c r="B139" s="27">
        <v>802</v>
      </c>
      <c r="C139" s="26" t="s">
        <v>389</v>
      </c>
      <c r="D139" s="26" t="s">
        <v>381</v>
      </c>
      <c r="E139" s="19" t="s">
        <v>432</v>
      </c>
      <c r="F139" s="21"/>
      <c r="G139" s="10">
        <f>G140</f>
        <v>610</v>
      </c>
      <c r="H139" s="10">
        <f>H140</f>
        <v>610</v>
      </c>
      <c r="I139" s="10">
        <f>I140</f>
        <v>610</v>
      </c>
      <c r="J139" s="99">
        <f t="shared" si="12"/>
        <v>100</v>
      </c>
    </row>
    <row r="140" spans="1:10" ht="16.5" customHeight="1">
      <c r="A140" s="60" t="s">
        <v>419</v>
      </c>
      <c r="B140" s="27">
        <v>802</v>
      </c>
      <c r="C140" s="26" t="s">
        <v>389</v>
      </c>
      <c r="D140" s="26" t="s">
        <v>381</v>
      </c>
      <c r="E140" s="19" t="s">
        <v>432</v>
      </c>
      <c r="F140" s="21" t="s">
        <v>420</v>
      </c>
      <c r="G140" s="10">
        <f>1200-720+130</f>
        <v>610</v>
      </c>
      <c r="H140" s="10">
        <f>1200-720+130</f>
        <v>610</v>
      </c>
      <c r="I140" s="10">
        <v>610</v>
      </c>
      <c r="J140" s="99">
        <f t="shared" si="12"/>
        <v>100</v>
      </c>
    </row>
    <row r="141" spans="1:10" ht="16.5" customHeight="1">
      <c r="A141" s="23" t="s">
        <v>203</v>
      </c>
      <c r="B141" s="27">
        <v>802</v>
      </c>
      <c r="C141" s="20" t="s">
        <v>389</v>
      </c>
      <c r="D141" s="20" t="s">
        <v>381</v>
      </c>
      <c r="E141" s="19" t="s">
        <v>229</v>
      </c>
      <c r="F141" s="21"/>
      <c r="G141" s="10">
        <f>G142</f>
        <v>633</v>
      </c>
      <c r="H141" s="10">
        <f>H142</f>
        <v>633</v>
      </c>
      <c r="I141" s="10">
        <f>I142</f>
        <v>632</v>
      </c>
      <c r="J141" s="99">
        <f aca="true" t="shared" si="20" ref="J141:J204">I141/H141*100</f>
        <v>99.84202211690362</v>
      </c>
    </row>
    <row r="142" spans="1:10" ht="16.5" customHeight="1">
      <c r="A142" s="60" t="s">
        <v>419</v>
      </c>
      <c r="B142" s="27">
        <v>802</v>
      </c>
      <c r="C142" s="20" t="s">
        <v>389</v>
      </c>
      <c r="D142" s="20" t="s">
        <v>381</v>
      </c>
      <c r="E142" s="19" t="s">
        <v>229</v>
      </c>
      <c r="F142" s="21" t="s">
        <v>420</v>
      </c>
      <c r="G142" s="10">
        <f>2000-1200-167</f>
        <v>633</v>
      </c>
      <c r="H142" s="10">
        <f>2000-1200-167</f>
        <v>633</v>
      </c>
      <c r="I142" s="10">
        <v>632</v>
      </c>
      <c r="J142" s="99">
        <f t="shared" si="20"/>
        <v>99.84202211690362</v>
      </c>
    </row>
    <row r="143" spans="1:10" ht="32.25" customHeight="1">
      <c r="A143" s="8" t="s">
        <v>201</v>
      </c>
      <c r="B143" s="27">
        <v>802</v>
      </c>
      <c r="C143" s="26" t="s">
        <v>389</v>
      </c>
      <c r="D143" s="26" t="s">
        <v>381</v>
      </c>
      <c r="E143" s="19" t="s">
        <v>431</v>
      </c>
      <c r="F143" s="21"/>
      <c r="G143" s="10">
        <f>G144</f>
        <v>4111</v>
      </c>
      <c r="H143" s="10">
        <f>H144</f>
        <v>4111</v>
      </c>
      <c r="I143" s="10">
        <f>I144</f>
        <v>4109</v>
      </c>
      <c r="J143" s="99">
        <f t="shared" si="20"/>
        <v>99.95135003648747</v>
      </c>
    </row>
    <row r="144" spans="1:10" ht="16.5" customHeight="1">
      <c r="A144" s="60" t="s">
        <v>419</v>
      </c>
      <c r="B144" s="27">
        <v>802</v>
      </c>
      <c r="C144" s="26" t="s">
        <v>389</v>
      </c>
      <c r="D144" s="26" t="s">
        <v>381</v>
      </c>
      <c r="E144" s="19" t="s">
        <v>431</v>
      </c>
      <c r="F144" s="21" t="s">
        <v>420</v>
      </c>
      <c r="G144" s="10">
        <f>6760-2662+37-24</f>
        <v>4111</v>
      </c>
      <c r="H144" s="10">
        <f>6760-2662+37-24</f>
        <v>4111</v>
      </c>
      <c r="I144" s="10">
        <v>4109</v>
      </c>
      <c r="J144" s="99">
        <f t="shared" si="20"/>
        <v>99.95135003648747</v>
      </c>
    </row>
    <row r="145" spans="1:10" ht="16.5" customHeight="1">
      <c r="A145" s="60" t="s">
        <v>620</v>
      </c>
      <c r="B145" s="27">
        <v>802</v>
      </c>
      <c r="C145" s="26" t="s">
        <v>389</v>
      </c>
      <c r="D145" s="26" t="s">
        <v>381</v>
      </c>
      <c r="E145" s="19" t="s">
        <v>657</v>
      </c>
      <c r="F145" s="21"/>
      <c r="G145" s="10">
        <f>G146</f>
        <v>24</v>
      </c>
      <c r="H145" s="10">
        <f>H146</f>
        <v>24</v>
      </c>
      <c r="I145" s="10">
        <f>I146</f>
        <v>24</v>
      </c>
      <c r="J145" s="99">
        <f t="shared" si="20"/>
        <v>100</v>
      </c>
    </row>
    <row r="146" spans="1:10" ht="17.25" customHeight="1">
      <c r="A146" s="60" t="s">
        <v>419</v>
      </c>
      <c r="B146" s="27">
        <v>802</v>
      </c>
      <c r="C146" s="26" t="s">
        <v>389</v>
      </c>
      <c r="D146" s="26" t="s">
        <v>381</v>
      </c>
      <c r="E146" s="19" t="s">
        <v>657</v>
      </c>
      <c r="F146" s="21" t="s">
        <v>420</v>
      </c>
      <c r="G146" s="10">
        <v>24</v>
      </c>
      <c r="H146" s="10">
        <v>24</v>
      </c>
      <c r="I146" s="10">
        <v>24</v>
      </c>
      <c r="J146" s="99">
        <f t="shared" si="20"/>
        <v>100</v>
      </c>
    </row>
    <row r="147" spans="1:10" ht="16.5" customHeight="1">
      <c r="A147" s="23" t="s">
        <v>199</v>
      </c>
      <c r="B147" s="27">
        <v>802</v>
      </c>
      <c r="C147" s="20" t="s">
        <v>389</v>
      </c>
      <c r="D147" s="26" t="s">
        <v>381</v>
      </c>
      <c r="E147" s="19" t="s">
        <v>417</v>
      </c>
      <c r="F147" s="21"/>
      <c r="G147" s="10">
        <f>G148+G150</f>
        <v>75</v>
      </c>
      <c r="H147" s="10">
        <f>H148+H150</f>
        <v>75</v>
      </c>
      <c r="I147" s="10">
        <f>I148+I150</f>
        <v>75</v>
      </c>
      <c r="J147" s="99">
        <f t="shared" si="20"/>
        <v>100</v>
      </c>
    </row>
    <row r="148" spans="1:10" ht="32.25" customHeight="1">
      <c r="A148" s="31" t="s">
        <v>567</v>
      </c>
      <c r="B148" s="27">
        <v>802</v>
      </c>
      <c r="C148" s="20" t="s">
        <v>389</v>
      </c>
      <c r="D148" s="26" t="s">
        <v>381</v>
      </c>
      <c r="E148" s="19" t="s">
        <v>215</v>
      </c>
      <c r="F148" s="21"/>
      <c r="G148" s="10">
        <f>G149</f>
        <v>75</v>
      </c>
      <c r="H148" s="10">
        <f>H149</f>
        <v>75</v>
      </c>
      <c r="I148" s="10">
        <f>I149</f>
        <v>75</v>
      </c>
      <c r="J148" s="99">
        <f t="shared" si="20"/>
        <v>100</v>
      </c>
    </row>
    <row r="149" spans="1:10" ht="16.5" customHeight="1">
      <c r="A149" s="60" t="s">
        <v>419</v>
      </c>
      <c r="B149" s="27">
        <v>802</v>
      </c>
      <c r="C149" s="20" t="s">
        <v>389</v>
      </c>
      <c r="D149" s="26" t="s">
        <v>381</v>
      </c>
      <c r="E149" s="19" t="s">
        <v>215</v>
      </c>
      <c r="F149" s="21" t="s">
        <v>420</v>
      </c>
      <c r="G149" s="10">
        <f>75-75+75</f>
        <v>75</v>
      </c>
      <c r="H149" s="10">
        <f>75-75+75</f>
        <v>75</v>
      </c>
      <c r="I149" s="10">
        <f>75-75+75</f>
        <v>75</v>
      </c>
      <c r="J149" s="99">
        <f t="shared" si="20"/>
        <v>100</v>
      </c>
    </row>
    <row r="150" spans="1:10" ht="48" customHeight="1" hidden="1">
      <c r="A150" s="64" t="s">
        <v>499</v>
      </c>
      <c r="B150" s="27">
        <v>802</v>
      </c>
      <c r="C150" s="26" t="s">
        <v>389</v>
      </c>
      <c r="D150" s="26" t="s">
        <v>381</v>
      </c>
      <c r="E150" s="27" t="s">
        <v>481</v>
      </c>
      <c r="F150" s="28"/>
      <c r="G150" s="10">
        <f>G151</f>
        <v>0</v>
      </c>
      <c r="H150" s="10">
        <f>H151</f>
        <v>0</v>
      </c>
      <c r="I150" s="10">
        <f>I151</f>
        <v>0</v>
      </c>
      <c r="J150" s="99" t="e">
        <f t="shared" si="20"/>
        <v>#DIV/0!</v>
      </c>
    </row>
    <row r="151" spans="1:10" ht="17.25" customHeight="1" hidden="1">
      <c r="A151" s="60" t="s">
        <v>419</v>
      </c>
      <c r="B151" s="27">
        <v>802</v>
      </c>
      <c r="C151" s="26" t="s">
        <v>389</v>
      </c>
      <c r="D151" s="26" t="s">
        <v>381</v>
      </c>
      <c r="E151" s="27" t="s">
        <v>481</v>
      </c>
      <c r="F151" s="28" t="s">
        <v>420</v>
      </c>
      <c r="G151" s="10">
        <f>140-140</f>
        <v>0</v>
      </c>
      <c r="H151" s="10">
        <f>140-140</f>
        <v>0</v>
      </c>
      <c r="I151" s="10">
        <f>140-140</f>
        <v>0</v>
      </c>
      <c r="J151" s="99" t="e">
        <f t="shared" si="20"/>
        <v>#DIV/0!</v>
      </c>
    </row>
    <row r="152" spans="1:10" ht="12" customHeight="1">
      <c r="A152" s="64"/>
      <c r="B152" s="26"/>
      <c r="C152" s="26"/>
      <c r="D152" s="26"/>
      <c r="E152" s="27"/>
      <c r="F152" s="28"/>
      <c r="G152" s="10"/>
      <c r="H152" s="10"/>
      <c r="I152" s="10"/>
      <c r="J152" s="99"/>
    </row>
    <row r="153" spans="1:10" ht="28.5" customHeight="1">
      <c r="A153" s="24" t="s">
        <v>572</v>
      </c>
      <c r="B153" s="15">
        <v>803</v>
      </c>
      <c r="C153" s="16"/>
      <c r="D153" s="16"/>
      <c r="E153" s="17"/>
      <c r="F153" s="18"/>
      <c r="G153" s="5">
        <f aca="true" t="shared" si="21" ref="G153:I154">G154</f>
        <v>9987</v>
      </c>
      <c r="H153" s="5">
        <f t="shared" si="21"/>
        <v>10616</v>
      </c>
      <c r="I153" s="5">
        <f t="shared" si="21"/>
        <v>10365</v>
      </c>
      <c r="J153" s="103">
        <f t="shared" si="20"/>
        <v>97.63564431047476</v>
      </c>
    </row>
    <row r="154" spans="1:10" ht="16.5" customHeight="1">
      <c r="A154" s="62" t="s">
        <v>206</v>
      </c>
      <c r="B154" s="15">
        <v>803</v>
      </c>
      <c r="C154" s="30" t="s">
        <v>389</v>
      </c>
      <c r="D154" s="30"/>
      <c r="E154" s="15"/>
      <c r="F154" s="33"/>
      <c r="G154" s="5">
        <f t="shared" si="21"/>
        <v>9987</v>
      </c>
      <c r="H154" s="5">
        <f t="shared" si="21"/>
        <v>10616</v>
      </c>
      <c r="I154" s="5">
        <f t="shared" si="21"/>
        <v>10365</v>
      </c>
      <c r="J154" s="103">
        <f t="shared" si="20"/>
        <v>97.63564431047476</v>
      </c>
    </row>
    <row r="155" spans="1:10" ht="16.5" customHeight="1">
      <c r="A155" s="23" t="s">
        <v>200</v>
      </c>
      <c r="B155" s="27">
        <v>803</v>
      </c>
      <c r="C155" s="26" t="s">
        <v>389</v>
      </c>
      <c r="D155" s="26" t="s">
        <v>381</v>
      </c>
      <c r="E155" s="27"/>
      <c r="F155" s="28"/>
      <c r="G155" s="10">
        <f>G160+G167+G156</f>
        <v>9987</v>
      </c>
      <c r="H155" s="10">
        <f>H160+H167+H156</f>
        <v>10616</v>
      </c>
      <c r="I155" s="10">
        <f>I160+I167+I156</f>
        <v>10365</v>
      </c>
      <c r="J155" s="99">
        <f t="shared" si="20"/>
        <v>97.63564431047476</v>
      </c>
    </row>
    <row r="156" spans="1:10" ht="16.5" customHeight="1">
      <c r="A156" s="60" t="s">
        <v>371</v>
      </c>
      <c r="B156" s="26" t="s">
        <v>284</v>
      </c>
      <c r="C156" s="26" t="s">
        <v>389</v>
      </c>
      <c r="D156" s="26" t="s">
        <v>381</v>
      </c>
      <c r="E156" s="19" t="s">
        <v>427</v>
      </c>
      <c r="F156" s="39"/>
      <c r="G156" s="10">
        <f aca="true" t="shared" si="22" ref="G156:I158">G157</f>
        <v>0</v>
      </c>
      <c r="H156" s="10">
        <f t="shared" si="22"/>
        <v>629</v>
      </c>
      <c r="I156" s="10">
        <f t="shared" si="22"/>
        <v>629</v>
      </c>
      <c r="J156" s="99">
        <f t="shared" si="20"/>
        <v>100</v>
      </c>
    </row>
    <row r="157" spans="1:10" ht="16.5" customHeight="1">
      <c r="A157" s="8" t="s">
        <v>426</v>
      </c>
      <c r="B157" s="26" t="s">
        <v>284</v>
      </c>
      <c r="C157" s="26" t="s">
        <v>389</v>
      </c>
      <c r="D157" s="26" t="s">
        <v>381</v>
      </c>
      <c r="E157" s="26" t="s">
        <v>428</v>
      </c>
      <c r="F157" s="21"/>
      <c r="G157" s="10">
        <f t="shared" si="22"/>
        <v>0</v>
      </c>
      <c r="H157" s="10">
        <f t="shared" si="22"/>
        <v>629</v>
      </c>
      <c r="I157" s="10">
        <f t="shared" si="22"/>
        <v>629</v>
      </c>
      <c r="J157" s="99">
        <f t="shared" si="20"/>
        <v>100</v>
      </c>
    </row>
    <row r="158" spans="1:10" ht="16.5" customHeight="1">
      <c r="A158" s="67" t="s">
        <v>469</v>
      </c>
      <c r="B158" s="26" t="s">
        <v>284</v>
      </c>
      <c r="C158" s="26" t="s">
        <v>389</v>
      </c>
      <c r="D158" s="26" t="s">
        <v>381</v>
      </c>
      <c r="E158" s="26" t="s">
        <v>311</v>
      </c>
      <c r="F158" s="21"/>
      <c r="G158" s="10">
        <f t="shared" si="22"/>
        <v>0</v>
      </c>
      <c r="H158" s="10">
        <f t="shared" si="22"/>
        <v>629</v>
      </c>
      <c r="I158" s="10">
        <f t="shared" si="22"/>
        <v>629</v>
      </c>
      <c r="J158" s="99">
        <f t="shared" si="20"/>
        <v>100</v>
      </c>
    </row>
    <row r="159" spans="1:10" ht="16.5" customHeight="1">
      <c r="A159" s="60" t="s">
        <v>419</v>
      </c>
      <c r="B159" s="26" t="s">
        <v>284</v>
      </c>
      <c r="C159" s="26" t="s">
        <v>389</v>
      </c>
      <c r="D159" s="26" t="s">
        <v>381</v>
      </c>
      <c r="E159" s="26" t="s">
        <v>311</v>
      </c>
      <c r="F159" s="21" t="s">
        <v>420</v>
      </c>
      <c r="G159" s="10">
        <v>0</v>
      </c>
      <c r="H159" s="10">
        <v>629</v>
      </c>
      <c r="I159" s="10">
        <v>629</v>
      </c>
      <c r="J159" s="99">
        <f t="shared" si="20"/>
        <v>100</v>
      </c>
    </row>
    <row r="160" spans="1:10" ht="16.5" customHeight="1">
      <c r="A160" s="23" t="s">
        <v>200</v>
      </c>
      <c r="B160" s="27">
        <v>803</v>
      </c>
      <c r="C160" s="26" t="s">
        <v>389</v>
      </c>
      <c r="D160" s="26" t="s">
        <v>381</v>
      </c>
      <c r="E160" s="27" t="s">
        <v>226</v>
      </c>
      <c r="F160" s="28"/>
      <c r="G160" s="10">
        <f>G161+G163+G165</f>
        <v>8719</v>
      </c>
      <c r="H160" s="10">
        <f>H161+H163+H165</f>
        <v>8719</v>
      </c>
      <c r="I160" s="10">
        <f>I161+I163+I165</f>
        <v>8668</v>
      </c>
      <c r="J160" s="99">
        <f t="shared" si="20"/>
        <v>99.41507053561189</v>
      </c>
    </row>
    <row r="161" spans="1:10" ht="16.5" customHeight="1">
      <c r="A161" s="23" t="s">
        <v>413</v>
      </c>
      <c r="B161" s="19">
        <v>803</v>
      </c>
      <c r="C161" s="26" t="s">
        <v>389</v>
      </c>
      <c r="D161" s="26" t="s">
        <v>381</v>
      </c>
      <c r="E161" s="19" t="s">
        <v>432</v>
      </c>
      <c r="F161" s="21"/>
      <c r="G161" s="10">
        <f>G162</f>
        <v>635</v>
      </c>
      <c r="H161" s="10">
        <f>H162</f>
        <v>635</v>
      </c>
      <c r="I161" s="10">
        <f>I162</f>
        <v>635</v>
      </c>
      <c r="J161" s="99">
        <f t="shared" si="20"/>
        <v>100</v>
      </c>
    </row>
    <row r="162" spans="1:10" ht="16.5" customHeight="1">
      <c r="A162" s="60" t="s">
        <v>419</v>
      </c>
      <c r="B162" s="27">
        <v>803</v>
      </c>
      <c r="C162" s="26" t="s">
        <v>389</v>
      </c>
      <c r="D162" s="26" t="s">
        <v>381</v>
      </c>
      <c r="E162" s="19" t="s">
        <v>432</v>
      </c>
      <c r="F162" s="21" t="s">
        <v>420</v>
      </c>
      <c r="G162" s="10">
        <f>1070-435</f>
        <v>635</v>
      </c>
      <c r="H162" s="10">
        <f>1070-435</f>
        <v>635</v>
      </c>
      <c r="I162" s="10">
        <f>1070-435</f>
        <v>635</v>
      </c>
      <c r="J162" s="99">
        <f t="shared" si="20"/>
        <v>100</v>
      </c>
    </row>
    <row r="163" spans="1:10" ht="16.5" customHeight="1">
      <c r="A163" s="23" t="s">
        <v>203</v>
      </c>
      <c r="B163" s="27">
        <v>803</v>
      </c>
      <c r="C163" s="20" t="s">
        <v>389</v>
      </c>
      <c r="D163" s="20" t="s">
        <v>381</v>
      </c>
      <c r="E163" s="19" t="s">
        <v>229</v>
      </c>
      <c r="F163" s="21"/>
      <c r="G163" s="10">
        <f>G164</f>
        <v>100</v>
      </c>
      <c r="H163" s="10">
        <f>H164</f>
        <v>100</v>
      </c>
      <c r="I163" s="10">
        <f>I164</f>
        <v>100</v>
      </c>
      <c r="J163" s="99">
        <f t="shared" si="20"/>
        <v>100</v>
      </c>
    </row>
    <row r="164" spans="1:10" ht="16.5" customHeight="1">
      <c r="A164" s="60" t="s">
        <v>419</v>
      </c>
      <c r="B164" s="27">
        <v>803</v>
      </c>
      <c r="C164" s="20" t="s">
        <v>389</v>
      </c>
      <c r="D164" s="20" t="s">
        <v>381</v>
      </c>
      <c r="E164" s="19" t="s">
        <v>229</v>
      </c>
      <c r="F164" s="21" t="s">
        <v>420</v>
      </c>
      <c r="G164" s="10">
        <f>800-700</f>
        <v>100</v>
      </c>
      <c r="H164" s="10">
        <f>800-700</f>
        <v>100</v>
      </c>
      <c r="I164" s="10">
        <f>800-700</f>
        <v>100</v>
      </c>
      <c r="J164" s="99">
        <f t="shared" si="20"/>
        <v>100</v>
      </c>
    </row>
    <row r="165" spans="1:10" ht="32.25" customHeight="1">
      <c r="A165" s="8" t="s">
        <v>201</v>
      </c>
      <c r="B165" s="27">
        <v>803</v>
      </c>
      <c r="C165" s="26" t="s">
        <v>389</v>
      </c>
      <c r="D165" s="26" t="s">
        <v>381</v>
      </c>
      <c r="E165" s="19" t="s">
        <v>431</v>
      </c>
      <c r="F165" s="21"/>
      <c r="G165" s="10">
        <f>G166</f>
        <v>7984</v>
      </c>
      <c r="H165" s="10">
        <f>H166</f>
        <v>7984</v>
      </c>
      <c r="I165" s="10">
        <f>I166</f>
        <v>7933</v>
      </c>
      <c r="J165" s="99">
        <f t="shared" si="20"/>
        <v>99.36122244488978</v>
      </c>
    </row>
    <row r="166" spans="1:10" ht="16.5" customHeight="1">
      <c r="A166" s="60" t="s">
        <v>419</v>
      </c>
      <c r="B166" s="27">
        <v>803</v>
      </c>
      <c r="C166" s="26" t="s">
        <v>389</v>
      </c>
      <c r="D166" s="26" t="s">
        <v>381</v>
      </c>
      <c r="E166" s="19" t="s">
        <v>431</v>
      </c>
      <c r="F166" s="21" t="s">
        <v>420</v>
      </c>
      <c r="G166" s="10">
        <f>14280-6296</f>
        <v>7984</v>
      </c>
      <c r="H166" s="10">
        <f>14280-6296</f>
        <v>7984</v>
      </c>
      <c r="I166" s="10">
        <v>7933</v>
      </c>
      <c r="J166" s="99">
        <f t="shared" si="20"/>
        <v>99.36122244488978</v>
      </c>
    </row>
    <row r="167" spans="1:10" ht="16.5" customHeight="1">
      <c r="A167" s="23" t="s">
        <v>199</v>
      </c>
      <c r="B167" s="27">
        <v>803</v>
      </c>
      <c r="C167" s="20" t="s">
        <v>389</v>
      </c>
      <c r="D167" s="26" t="s">
        <v>381</v>
      </c>
      <c r="E167" s="19" t="s">
        <v>417</v>
      </c>
      <c r="F167" s="21"/>
      <c r="G167" s="10">
        <f>G168+G170+G172</f>
        <v>1268</v>
      </c>
      <c r="H167" s="10">
        <f>H168+H170+H172</f>
        <v>1268</v>
      </c>
      <c r="I167" s="10">
        <f>I168+I170+I172</f>
        <v>1068</v>
      </c>
      <c r="J167" s="99">
        <f t="shared" si="20"/>
        <v>84.22712933753942</v>
      </c>
    </row>
    <row r="168" spans="1:10" ht="32.25" customHeight="1">
      <c r="A168" s="31" t="s">
        <v>567</v>
      </c>
      <c r="B168" s="27">
        <v>803</v>
      </c>
      <c r="C168" s="20" t="s">
        <v>389</v>
      </c>
      <c r="D168" s="26" t="s">
        <v>381</v>
      </c>
      <c r="E168" s="19" t="s">
        <v>215</v>
      </c>
      <c r="F168" s="21"/>
      <c r="G168" s="10">
        <f>G169</f>
        <v>75</v>
      </c>
      <c r="H168" s="10">
        <f>H169</f>
        <v>75</v>
      </c>
      <c r="I168" s="10">
        <f>I169</f>
        <v>75</v>
      </c>
      <c r="J168" s="99">
        <f t="shared" si="20"/>
        <v>100</v>
      </c>
    </row>
    <row r="169" spans="1:10" ht="16.5" customHeight="1">
      <c r="A169" s="60" t="s">
        <v>419</v>
      </c>
      <c r="B169" s="27">
        <v>803</v>
      </c>
      <c r="C169" s="20" t="s">
        <v>389</v>
      </c>
      <c r="D169" s="26" t="s">
        <v>381</v>
      </c>
      <c r="E169" s="19" t="s">
        <v>215</v>
      </c>
      <c r="F169" s="21" t="s">
        <v>420</v>
      </c>
      <c r="G169" s="10">
        <f>75-75+75</f>
        <v>75</v>
      </c>
      <c r="H169" s="10">
        <f>75-75+75</f>
        <v>75</v>
      </c>
      <c r="I169" s="10">
        <f>75-75+75</f>
        <v>75</v>
      </c>
      <c r="J169" s="99">
        <f t="shared" si="20"/>
        <v>100</v>
      </c>
    </row>
    <row r="170" spans="1:10" ht="49.5" customHeight="1">
      <c r="A170" s="64" t="s">
        <v>569</v>
      </c>
      <c r="B170" s="27">
        <v>803</v>
      </c>
      <c r="C170" s="26" t="s">
        <v>389</v>
      </c>
      <c r="D170" s="26" t="s">
        <v>381</v>
      </c>
      <c r="E170" s="27" t="s">
        <v>480</v>
      </c>
      <c r="F170" s="28"/>
      <c r="G170" s="10">
        <f>G171</f>
        <v>1193</v>
      </c>
      <c r="H170" s="10">
        <f>H171</f>
        <v>1193</v>
      </c>
      <c r="I170" s="10">
        <f>I171</f>
        <v>993</v>
      </c>
      <c r="J170" s="99">
        <f t="shared" si="20"/>
        <v>83.23554065381391</v>
      </c>
    </row>
    <row r="171" spans="1:10" ht="16.5" customHeight="1">
      <c r="A171" s="60" t="s">
        <v>419</v>
      </c>
      <c r="B171" s="27">
        <v>803</v>
      </c>
      <c r="C171" s="26" t="s">
        <v>389</v>
      </c>
      <c r="D171" s="26" t="s">
        <v>381</v>
      </c>
      <c r="E171" s="27" t="s">
        <v>480</v>
      </c>
      <c r="F171" s="28" t="s">
        <v>420</v>
      </c>
      <c r="G171" s="10">
        <f>1193-1193+1193-1193+1193</f>
        <v>1193</v>
      </c>
      <c r="H171" s="10">
        <f>1193-1193+1193-1193+1193</f>
        <v>1193</v>
      </c>
      <c r="I171" s="10">
        <v>993</v>
      </c>
      <c r="J171" s="99">
        <f t="shared" si="20"/>
        <v>83.23554065381391</v>
      </c>
    </row>
    <row r="172" spans="1:10" ht="49.5" customHeight="1" hidden="1">
      <c r="A172" s="64" t="s">
        <v>499</v>
      </c>
      <c r="B172" s="27">
        <v>803</v>
      </c>
      <c r="C172" s="26" t="s">
        <v>389</v>
      </c>
      <c r="D172" s="26" t="s">
        <v>381</v>
      </c>
      <c r="E172" s="27" t="s">
        <v>481</v>
      </c>
      <c r="F172" s="28"/>
      <c r="G172" s="10">
        <f>G173</f>
        <v>0</v>
      </c>
      <c r="H172" s="10">
        <f>H173</f>
        <v>0</v>
      </c>
      <c r="I172" s="10">
        <f>I173</f>
        <v>0</v>
      </c>
      <c r="J172" s="99" t="e">
        <f t="shared" si="20"/>
        <v>#DIV/0!</v>
      </c>
    </row>
    <row r="173" spans="1:10" ht="17.25" customHeight="1" hidden="1">
      <c r="A173" s="60" t="s">
        <v>419</v>
      </c>
      <c r="B173" s="27">
        <v>803</v>
      </c>
      <c r="C173" s="26" t="s">
        <v>389</v>
      </c>
      <c r="D173" s="26" t="s">
        <v>381</v>
      </c>
      <c r="E173" s="27" t="s">
        <v>481</v>
      </c>
      <c r="F173" s="28" t="s">
        <v>420</v>
      </c>
      <c r="G173" s="10">
        <f>490-490</f>
        <v>0</v>
      </c>
      <c r="H173" s="10">
        <f>490-490</f>
        <v>0</v>
      </c>
      <c r="I173" s="10">
        <f>490-490</f>
        <v>0</v>
      </c>
      <c r="J173" s="99" t="e">
        <f t="shared" si="20"/>
        <v>#DIV/0!</v>
      </c>
    </row>
    <row r="174" spans="1:10" ht="12" customHeight="1">
      <c r="A174" s="64"/>
      <c r="B174" s="26"/>
      <c r="C174" s="26"/>
      <c r="D174" s="26"/>
      <c r="E174" s="27"/>
      <c r="F174" s="28"/>
      <c r="G174" s="10"/>
      <c r="H174" s="10"/>
      <c r="I174" s="10"/>
      <c r="J174" s="99"/>
    </row>
    <row r="175" spans="1:10" ht="28.5" customHeight="1">
      <c r="A175" s="24" t="s">
        <v>574</v>
      </c>
      <c r="B175" s="15">
        <v>804</v>
      </c>
      <c r="C175" s="16"/>
      <c r="D175" s="16"/>
      <c r="E175" s="17"/>
      <c r="F175" s="18"/>
      <c r="G175" s="5">
        <f aca="true" t="shared" si="23" ref="G175:I176">G176</f>
        <v>4053</v>
      </c>
      <c r="H175" s="5">
        <f t="shared" si="23"/>
        <v>4684</v>
      </c>
      <c r="I175" s="5">
        <f t="shared" si="23"/>
        <v>4683</v>
      </c>
      <c r="J175" s="103">
        <f t="shared" si="20"/>
        <v>99.97865072587531</v>
      </c>
    </row>
    <row r="176" spans="1:10" ht="16.5" customHeight="1">
      <c r="A176" s="62" t="s">
        <v>206</v>
      </c>
      <c r="B176" s="15">
        <v>804</v>
      </c>
      <c r="C176" s="30" t="s">
        <v>389</v>
      </c>
      <c r="D176" s="30"/>
      <c r="E176" s="15"/>
      <c r="F176" s="33"/>
      <c r="G176" s="5">
        <f t="shared" si="23"/>
        <v>4053</v>
      </c>
      <c r="H176" s="5">
        <f t="shared" si="23"/>
        <v>4684</v>
      </c>
      <c r="I176" s="5">
        <f t="shared" si="23"/>
        <v>4683</v>
      </c>
      <c r="J176" s="103">
        <f t="shared" si="20"/>
        <v>99.97865072587531</v>
      </c>
    </row>
    <row r="177" spans="1:10" ht="16.5" customHeight="1">
      <c r="A177" s="23" t="s">
        <v>200</v>
      </c>
      <c r="B177" s="27">
        <v>804</v>
      </c>
      <c r="C177" s="26" t="s">
        <v>389</v>
      </c>
      <c r="D177" s="26" t="s">
        <v>381</v>
      </c>
      <c r="E177" s="27"/>
      <c r="F177" s="28"/>
      <c r="G177" s="10">
        <f>G182+G187+G178</f>
        <v>4053</v>
      </c>
      <c r="H177" s="10">
        <f>H182+H187+H178</f>
        <v>4684</v>
      </c>
      <c r="I177" s="10">
        <f>I182+I187+I178</f>
        <v>4683</v>
      </c>
      <c r="J177" s="99">
        <f t="shared" si="20"/>
        <v>99.97865072587531</v>
      </c>
    </row>
    <row r="178" spans="1:10" ht="16.5" customHeight="1">
      <c r="A178" s="60" t="s">
        <v>371</v>
      </c>
      <c r="B178" s="26" t="s">
        <v>285</v>
      </c>
      <c r="C178" s="26" t="s">
        <v>389</v>
      </c>
      <c r="D178" s="26" t="s">
        <v>381</v>
      </c>
      <c r="E178" s="19" t="s">
        <v>427</v>
      </c>
      <c r="F178" s="39"/>
      <c r="G178" s="10">
        <f aca="true" t="shared" si="24" ref="G178:I180">G179</f>
        <v>0</v>
      </c>
      <c r="H178" s="10">
        <f t="shared" si="24"/>
        <v>631</v>
      </c>
      <c r="I178" s="10">
        <f t="shared" si="24"/>
        <v>630</v>
      </c>
      <c r="J178" s="99">
        <f t="shared" si="20"/>
        <v>99.84152139461173</v>
      </c>
    </row>
    <row r="179" spans="1:10" ht="16.5" customHeight="1">
      <c r="A179" s="8" t="s">
        <v>426</v>
      </c>
      <c r="B179" s="26" t="s">
        <v>285</v>
      </c>
      <c r="C179" s="26" t="s">
        <v>389</v>
      </c>
      <c r="D179" s="26" t="s">
        <v>381</v>
      </c>
      <c r="E179" s="26" t="s">
        <v>428</v>
      </c>
      <c r="F179" s="21"/>
      <c r="G179" s="10">
        <f t="shared" si="24"/>
        <v>0</v>
      </c>
      <c r="H179" s="10">
        <f t="shared" si="24"/>
        <v>631</v>
      </c>
      <c r="I179" s="10">
        <f t="shared" si="24"/>
        <v>630</v>
      </c>
      <c r="J179" s="99">
        <f t="shared" si="20"/>
        <v>99.84152139461173</v>
      </c>
    </row>
    <row r="180" spans="1:10" ht="17.25" customHeight="1">
      <c r="A180" s="67" t="s">
        <v>469</v>
      </c>
      <c r="B180" s="26" t="s">
        <v>285</v>
      </c>
      <c r="C180" s="26" t="s">
        <v>389</v>
      </c>
      <c r="D180" s="26" t="s">
        <v>381</v>
      </c>
      <c r="E180" s="26" t="s">
        <v>311</v>
      </c>
      <c r="F180" s="21"/>
      <c r="G180" s="10">
        <f t="shared" si="24"/>
        <v>0</v>
      </c>
      <c r="H180" s="10">
        <f t="shared" si="24"/>
        <v>631</v>
      </c>
      <c r="I180" s="10">
        <f t="shared" si="24"/>
        <v>630</v>
      </c>
      <c r="J180" s="99">
        <f t="shared" si="20"/>
        <v>99.84152139461173</v>
      </c>
    </row>
    <row r="181" spans="1:10" ht="16.5" customHeight="1">
      <c r="A181" s="60" t="s">
        <v>419</v>
      </c>
      <c r="B181" s="26" t="s">
        <v>285</v>
      </c>
      <c r="C181" s="26" t="s">
        <v>389</v>
      </c>
      <c r="D181" s="26" t="s">
        <v>381</v>
      </c>
      <c r="E181" s="26" t="s">
        <v>311</v>
      </c>
      <c r="F181" s="21" t="s">
        <v>420</v>
      </c>
      <c r="G181" s="10">
        <v>0</v>
      </c>
      <c r="H181" s="10">
        <v>631</v>
      </c>
      <c r="I181" s="10">
        <v>630</v>
      </c>
      <c r="J181" s="99">
        <f t="shared" si="20"/>
        <v>99.84152139461173</v>
      </c>
    </row>
    <row r="182" spans="1:10" ht="16.5" customHeight="1">
      <c r="A182" s="23" t="s">
        <v>200</v>
      </c>
      <c r="B182" s="27">
        <v>804</v>
      </c>
      <c r="C182" s="26" t="s">
        <v>389</v>
      </c>
      <c r="D182" s="26" t="s">
        <v>381</v>
      </c>
      <c r="E182" s="27" t="s">
        <v>226</v>
      </c>
      <c r="F182" s="28"/>
      <c r="G182" s="10">
        <f>G183+G185</f>
        <v>3978</v>
      </c>
      <c r="H182" s="10">
        <f>H183+H185</f>
        <v>3978</v>
      </c>
      <c r="I182" s="10">
        <f>I183+I185</f>
        <v>3978</v>
      </c>
      <c r="J182" s="99">
        <f t="shared" si="20"/>
        <v>100</v>
      </c>
    </row>
    <row r="183" spans="1:10" ht="16.5" customHeight="1">
      <c r="A183" s="23" t="s">
        <v>413</v>
      </c>
      <c r="B183" s="27">
        <v>804</v>
      </c>
      <c r="C183" s="26" t="s">
        <v>389</v>
      </c>
      <c r="D183" s="26" t="s">
        <v>381</v>
      </c>
      <c r="E183" s="19" t="s">
        <v>432</v>
      </c>
      <c r="F183" s="21"/>
      <c r="G183" s="10">
        <f>G184</f>
        <v>630</v>
      </c>
      <c r="H183" s="10">
        <f>H184</f>
        <v>630</v>
      </c>
      <c r="I183" s="10">
        <f>I184</f>
        <v>630</v>
      </c>
      <c r="J183" s="99">
        <f t="shared" si="20"/>
        <v>100</v>
      </c>
    </row>
    <row r="184" spans="1:10" ht="16.5" customHeight="1">
      <c r="A184" s="60" t="s">
        <v>419</v>
      </c>
      <c r="B184" s="27">
        <v>804</v>
      </c>
      <c r="C184" s="26" t="s">
        <v>389</v>
      </c>
      <c r="D184" s="26" t="s">
        <v>381</v>
      </c>
      <c r="E184" s="19" t="s">
        <v>432</v>
      </c>
      <c r="F184" s="21" t="s">
        <v>420</v>
      </c>
      <c r="G184" s="10">
        <f>1610-980</f>
        <v>630</v>
      </c>
      <c r="H184" s="10">
        <f>1610-980</f>
        <v>630</v>
      </c>
      <c r="I184" s="10">
        <f>1610-980</f>
        <v>630</v>
      </c>
      <c r="J184" s="99">
        <f t="shared" si="20"/>
        <v>100</v>
      </c>
    </row>
    <row r="185" spans="1:10" ht="32.25" customHeight="1">
      <c r="A185" s="8" t="s">
        <v>201</v>
      </c>
      <c r="B185" s="27">
        <v>804</v>
      </c>
      <c r="C185" s="26" t="s">
        <v>389</v>
      </c>
      <c r="D185" s="26" t="s">
        <v>381</v>
      </c>
      <c r="E185" s="19" t="s">
        <v>431</v>
      </c>
      <c r="F185" s="21"/>
      <c r="G185" s="10">
        <f>G186</f>
        <v>3348</v>
      </c>
      <c r="H185" s="10">
        <f>H186</f>
        <v>3348</v>
      </c>
      <c r="I185" s="10">
        <f>I186</f>
        <v>3348</v>
      </c>
      <c r="J185" s="99">
        <f t="shared" si="20"/>
        <v>100</v>
      </c>
    </row>
    <row r="186" spans="1:10" ht="16.5" customHeight="1">
      <c r="A186" s="60" t="s">
        <v>419</v>
      </c>
      <c r="B186" s="27">
        <v>804</v>
      </c>
      <c r="C186" s="26" t="s">
        <v>389</v>
      </c>
      <c r="D186" s="26" t="s">
        <v>381</v>
      </c>
      <c r="E186" s="19" t="s">
        <v>431</v>
      </c>
      <c r="F186" s="21" t="s">
        <v>420</v>
      </c>
      <c r="G186" s="10">
        <f>5760-2412</f>
        <v>3348</v>
      </c>
      <c r="H186" s="10">
        <f>5760-2412</f>
        <v>3348</v>
      </c>
      <c r="I186" s="10">
        <v>3348</v>
      </c>
      <c r="J186" s="99">
        <f t="shared" si="20"/>
        <v>100</v>
      </c>
    </row>
    <row r="187" spans="1:10" ht="16.5" customHeight="1">
      <c r="A187" s="23" t="s">
        <v>199</v>
      </c>
      <c r="B187" s="27">
        <v>804</v>
      </c>
      <c r="C187" s="20" t="s">
        <v>389</v>
      </c>
      <c r="D187" s="26" t="s">
        <v>381</v>
      </c>
      <c r="E187" s="19" t="s">
        <v>417</v>
      </c>
      <c r="F187" s="21"/>
      <c r="G187" s="10">
        <f>G188+G190</f>
        <v>75</v>
      </c>
      <c r="H187" s="10">
        <f>H188+H190</f>
        <v>75</v>
      </c>
      <c r="I187" s="10">
        <f>I188+I190</f>
        <v>75</v>
      </c>
      <c r="J187" s="99">
        <f t="shared" si="20"/>
        <v>100</v>
      </c>
    </row>
    <row r="188" spans="1:10" ht="32.25" customHeight="1">
      <c r="A188" s="31" t="s">
        <v>567</v>
      </c>
      <c r="B188" s="27">
        <v>804</v>
      </c>
      <c r="C188" s="20" t="s">
        <v>389</v>
      </c>
      <c r="D188" s="26" t="s">
        <v>381</v>
      </c>
      <c r="E188" s="19" t="s">
        <v>215</v>
      </c>
      <c r="F188" s="21"/>
      <c r="G188" s="10">
        <f>G189</f>
        <v>75</v>
      </c>
      <c r="H188" s="10">
        <f>H189</f>
        <v>75</v>
      </c>
      <c r="I188" s="10">
        <f>I189</f>
        <v>75</v>
      </c>
      <c r="J188" s="99">
        <f t="shared" si="20"/>
        <v>100</v>
      </c>
    </row>
    <row r="189" spans="1:10" ht="16.5" customHeight="1">
      <c r="A189" s="60" t="s">
        <v>419</v>
      </c>
      <c r="B189" s="27">
        <v>804</v>
      </c>
      <c r="C189" s="20" t="s">
        <v>389</v>
      </c>
      <c r="D189" s="26" t="s">
        <v>381</v>
      </c>
      <c r="E189" s="19" t="s">
        <v>215</v>
      </c>
      <c r="F189" s="21" t="s">
        <v>420</v>
      </c>
      <c r="G189" s="10">
        <f>75-75+75</f>
        <v>75</v>
      </c>
      <c r="H189" s="10">
        <f>75-75+75</f>
        <v>75</v>
      </c>
      <c r="I189" s="10">
        <f>75-75+75</f>
        <v>75</v>
      </c>
      <c r="J189" s="99">
        <f t="shared" si="20"/>
        <v>100</v>
      </c>
    </row>
    <row r="190" spans="1:10" ht="48.75" customHeight="1" hidden="1">
      <c r="A190" s="64" t="s">
        <v>499</v>
      </c>
      <c r="B190" s="27">
        <v>804</v>
      </c>
      <c r="C190" s="26" t="s">
        <v>389</v>
      </c>
      <c r="D190" s="26" t="s">
        <v>381</v>
      </c>
      <c r="E190" s="27" t="s">
        <v>481</v>
      </c>
      <c r="F190" s="28"/>
      <c r="G190" s="10">
        <f>G191</f>
        <v>0</v>
      </c>
      <c r="H190" s="10">
        <f>H191</f>
        <v>0</v>
      </c>
      <c r="I190" s="10">
        <f>I191</f>
        <v>0</v>
      </c>
      <c r="J190" s="99" t="e">
        <f t="shared" si="20"/>
        <v>#DIV/0!</v>
      </c>
    </row>
    <row r="191" spans="1:10" ht="17.25" customHeight="1" hidden="1">
      <c r="A191" s="60" t="s">
        <v>419</v>
      </c>
      <c r="B191" s="27">
        <v>804</v>
      </c>
      <c r="C191" s="26" t="s">
        <v>389</v>
      </c>
      <c r="D191" s="26" t="s">
        <v>381</v>
      </c>
      <c r="E191" s="27" t="s">
        <v>481</v>
      </c>
      <c r="F191" s="28" t="s">
        <v>420</v>
      </c>
      <c r="G191" s="10">
        <f>144-144</f>
        <v>0</v>
      </c>
      <c r="H191" s="10">
        <f>144-144</f>
        <v>0</v>
      </c>
      <c r="I191" s="10">
        <f>144-144</f>
        <v>0</v>
      </c>
      <c r="J191" s="99" t="e">
        <f t="shared" si="20"/>
        <v>#DIV/0!</v>
      </c>
    </row>
    <row r="192" spans="1:10" ht="12" customHeight="1">
      <c r="A192" s="64"/>
      <c r="B192" s="26"/>
      <c r="C192" s="26"/>
      <c r="D192" s="26"/>
      <c r="E192" s="27"/>
      <c r="F192" s="28"/>
      <c r="G192" s="10"/>
      <c r="H192" s="10"/>
      <c r="I192" s="10"/>
      <c r="J192" s="99"/>
    </row>
    <row r="193" spans="1:10" ht="28.5" customHeight="1">
      <c r="A193" s="24" t="s">
        <v>575</v>
      </c>
      <c r="B193" s="15">
        <v>805</v>
      </c>
      <c r="C193" s="16"/>
      <c r="D193" s="16"/>
      <c r="E193" s="17"/>
      <c r="F193" s="18"/>
      <c r="G193" s="5">
        <f>G201+G194</f>
        <v>16541</v>
      </c>
      <c r="H193" s="5">
        <f>H201+H194</f>
        <v>18904</v>
      </c>
      <c r="I193" s="5">
        <f>I201+I194</f>
        <v>18700</v>
      </c>
      <c r="J193" s="103">
        <f t="shared" si="20"/>
        <v>98.92086330935251</v>
      </c>
    </row>
    <row r="194" spans="1:10" ht="16.5" customHeight="1">
      <c r="A194" s="62" t="s">
        <v>415</v>
      </c>
      <c r="B194" s="15">
        <v>805</v>
      </c>
      <c r="C194" s="30" t="s">
        <v>381</v>
      </c>
      <c r="D194" s="30"/>
      <c r="E194" s="30"/>
      <c r="F194" s="33"/>
      <c r="G194" s="5">
        <f aca="true" t="shared" si="25" ref="G194:I198">G195</f>
        <v>0</v>
      </c>
      <c r="H194" s="5">
        <f t="shared" si="25"/>
        <v>180</v>
      </c>
      <c r="I194" s="5">
        <f t="shared" si="25"/>
        <v>180</v>
      </c>
      <c r="J194" s="103">
        <f t="shared" si="20"/>
        <v>100</v>
      </c>
    </row>
    <row r="195" spans="1:10" ht="32.25" customHeight="1">
      <c r="A195" s="31" t="s">
        <v>339</v>
      </c>
      <c r="B195" s="19">
        <v>805</v>
      </c>
      <c r="C195" s="20" t="s">
        <v>381</v>
      </c>
      <c r="D195" s="20" t="s">
        <v>386</v>
      </c>
      <c r="E195" s="19"/>
      <c r="F195" s="21"/>
      <c r="G195" s="6">
        <f t="shared" si="25"/>
        <v>0</v>
      </c>
      <c r="H195" s="6">
        <f t="shared" si="25"/>
        <v>180</v>
      </c>
      <c r="I195" s="6">
        <f t="shared" si="25"/>
        <v>180</v>
      </c>
      <c r="J195" s="99">
        <f t="shared" si="20"/>
        <v>100</v>
      </c>
    </row>
    <row r="196" spans="1:10" ht="16.5" customHeight="1">
      <c r="A196" s="60" t="s">
        <v>371</v>
      </c>
      <c r="B196" s="26" t="s">
        <v>286</v>
      </c>
      <c r="C196" s="26" t="s">
        <v>381</v>
      </c>
      <c r="D196" s="26" t="s">
        <v>386</v>
      </c>
      <c r="E196" s="19" t="s">
        <v>427</v>
      </c>
      <c r="F196" s="39"/>
      <c r="G196" s="6">
        <f t="shared" si="25"/>
        <v>0</v>
      </c>
      <c r="H196" s="6">
        <f t="shared" si="25"/>
        <v>180</v>
      </c>
      <c r="I196" s="6">
        <f t="shared" si="25"/>
        <v>180</v>
      </c>
      <c r="J196" s="99">
        <f t="shared" si="20"/>
        <v>100</v>
      </c>
    </row>
    <row r="197" spans="1:10" ht="16.5" customHeight="1">
      <c r="A197" s="8" t="s">
        <v>426</v>
      </c>
      <c r="B197" s="26" t="s">
        <v>286</v>
      </c>
      <c r="C197" s="26" t="s">
        <v>381</v>
      </c>
      <c r="D197" s="26" t="s">
        <v>386</v>
      </c>
      <c r="E197" s="26" t="s">
        <v>428</v>
      </c>
      <c r="F197" s="21"/>
      <c r="G197" s="6">
        <f t="shared" si="25"/>
        <v>0</v>
      </c>
      <c r="H197" s="6">
        <f t="shared" si="25"/>
        <v>180</v>
      </c>
      <c r="I197" s="6">
        <f t="shared" si="25"/>
        <v>180</v>
      </c>
      <c r="J197" s="99">
        <f t="shared" si="20"/>
        <v>100</v>
      </c>
    </row>
    <row r="198" spans="1:10" ht="16.5" customHeight="1">
      <c r="A198" s="67" t="s">
        <v>469</v>
      </c>
      <c r="B198" s="26" t="s">
        <v>286</v>
      </c>
      <c r="C198" s="26" t="s">
        <v>381</v>
      </c>
      <c r="D198" s="26" t="s">
        <v>386</v>
      </c>
      <c r="E198" s="26" t="s">
        <v>311</v>
      </c>
      <c r="F198" s="21"/>
      <c r="G198" s="6">
        <f t="shared" si="25"/>
        <v>0</v>
      </c>
      <c r="H198" s="6">
        <f t="shared" si="25"/>
        <v>180</v>
      </c>
      <c r="I198" s="6">
        <f t="shared" si="25"/>
        <v>180</v>
      </c>
      <c r="J198" s="99">
        <f t="shared" si="20"/>
        <v>100</v>
      </c>
    </row>
    <row r="199" spans="1:10" ht="32.25" customHeight="1">
      <c r="A199" s="23" t="s">
        <v>327</v>
      </c>
      <c r="B199" s="26" t="s">
        <v>286</v>
      </c>
      <c r="C199" s="26" t="s">
        <v>381</v>
      </c>
      <c r="D199" s="26" t="s">
        <v>386</v>
      </c>
      <c r="E199" s="26" t="s">
        <v>311</v>
      </c>
      <c r="F199" s="21" t="s">
        <v>315</v>
      </c>
      <c r="G199" s="6">
        <v>0</v>
      </c>
      <c r="H199" s="6">
        <v>180</v>
      </c>
      <c r="I199" s="6">
        <v>180</v>
      </c>
      <c r="J199" s="99">
        <f t="shared" si="20"/>
        <v>100</v>
      </c>
    </row>
    <row r="200" spans="1:10" ht="12" customHeight="1">
      <c r="A200" s="24"/>
      <c r="B200" s="15"/>
      <c r="C200" s="16"/>
      <c r="D200" s="16"/>
      <c r="E200" s="17"/>
      <c r="F200" s="18"/>
      <c r="G200" s="5"/>
      <c r="H200" s="5"/>
      <c r="I200" s="5"/>
      <c r="J200" s="99"/>
    </row>
    <row r="201" spans="1:10" ht="16.5" customHeight="1">
      <c r="A201" s="62" t="s">
        <v>206</v>
      </c>
      <c r="B201" s="15">
        <v>805</v>
      </c>
      <c r="C201" s="30" t="s">
        <v>389</v>
      </c>
      <c r="D201" s="30"/>
      <c r="E201" s="15"/>
      <c r="F201" s="33"/>
      <c r="G201" s="5">
        <f>G202</f>
        <v>16541</v>
      </c>
      <c r="H201" s="5">
        <f>H202</f>
        <v>18724</v>
      </c>
      <c r="I201" s="5">
        <f>I202</f>
        <v>18520</v>
      </c>
      <c r="J201" s="103">
        <f t="shared" si="20"/>
        <v>98.9104892117069</v>
      </c>
    </row>
    <row r="202" spans="1:10" ht="16.5" customHeight="1">
      <c r="A202" s="23" t="s">
        <v>200</v>
      </c>
      <c r="B202" s="19">
        <v>805</v>
      </c>
      <c r="C202" s="26" t="s">
        <v>389</v>
      </c>
      <c r="D202" s="26" t="s">
        <v>381</v>
      </c>
      <c r="E202" s="27"/>
      <c r="F202" s="28"/>
      <c r="G202" s="10">
        <f>G207+G214+G203</f>
        <v>16541</v>
      </c>
      <c r="H202" s="10">
        <f>H207+H214+H203</f>
        <v>18724</v>
      </c>
      <c r="I202" s="10">
        <f>I207+I214+I203</f>
        <v>18520</v>
      </c>
      <c r="J202" s="99">
        <f t="shared" si="20"/>
        <v>98.9104892117069</v>
      </c>
    </row>
    <row r="203" spans="1:10" ht="16.5" customHeight="1">
      <c r="A203" s="60" t="s">
        <v>371</v>
      </c>
      <c r="B203" s="26" t="s">
        <v>286</v>
      </c>
      <c r="C203" s="26" t="s">
        <v>389</v>
      </c>
      <c r="D203" s="26" t="s">
        <v>381</v>
      </c>
      <c r="E203" s="19" t="s">
        <v>427</v>
      </c>
      <c r="F203" s="39"/>
      <c r="G203" s="10">
        <f aca="true" t="shared" si="26" ref="G203:I205">G204</f>
        <v>0</v>
      </c>
      <c r="H203" s="10">
        <f t="shared" si="26"/>
        <v>2183</v>
      </c>
      <c r="I203" s="10">
        <f t="shared" si="26"/>
        <v>1996</v>
      </c>
      <c r="J203" s="99">
        <f t="shared" si="20"/>
        <v>91.43380668804397</v>
      </c>
    </row>
    <row r="204" spans="1:10" ht="16.5" customHeight="1">
      <c r="A204" s="8" t="s">
        <v>426</v>
      </c>
      <c r="B204" s="26" t="s">
        <v>286</v>
      </c>
      <c r="C204" s="26" t="s">
        <v>389</v>
      </c>
      <c r="D204" s="26" t="s">
        <v>381</v>
      </c>
      <c r="E204" s="26" t="s">
        <v>428</v>
      </c>
      <c r="F204" s="21"/>
      <c r="G204" s="10">
        <f t="shared" si="26"/>
        <v>0</v>
      </c>
      <c r="H204" s="10">
        <f t="shared" si="26"/>
        <v>2183</v>
      </c>
      <c r="I204" s="10">
        <f t="shared" si="26"/>
        <v>1996</v>
      </c>
      <c r="J204" s="99">
        <f t="shared" si="20"/>
        <v>91.43380668804397</v>
      </c>
    </row>
    <row r="205" spans="1:10" ht="16.5" customHeight="1">
      <c r="A205" s="67" t="s">
        <v>469</v>
      </c>
      <c r="B205" s="26" t="s">
        <v>286</v>
      </c>
      <c r="C205" s="26" t="s">
        <v>389</v>
      </c>
      <c r="D205" s="26" t="s">
        <v>381</v>
      </c>
      <c r="E205" s="26" t="s">
        <v>311</v>
      </c>
      <c r="F205" s="21"/>
      <c r="G205" s="10">
        <f t="shared" si="26"/>
        <v>0</v>
      </c>
      <c r="H205" s="10">
        <f t="shared" si="26"/>
        <v>2183</v>
      </c>
      <c r="I205" s="10">
        <f t="shared" si="26"/>
        <v>1996</v>
      </c>
      <c r="J205" s="99">
        <f aca="true" t="shared" si="27" ref="J205:J268">I205/H205*100</f>
        <v>91.43380668804397</v>
      </c>
    </row>
    <row r="206" spans="1:10" ht="16.5" customHeight="1">
      <c r="A206" s="60" t="s">
        <v>419</v>
      </c>
      <c r="B206" s="26" t="s">
        <v>286</v>
      </c>
      <c r="C206" s="26" t="s">
        <v>389</v>
      </c>
      <c r="D206" s="26" t="s">
        <v>381</v>
      </c>
      <c r="E206" s="26" t="s">
        <v>311</v>
      </c>
      <c r="F206" s="21" t="s">
        <v>420</v>
      </c>
      <c r="G206" s="10">
        <v>0</v>
      </c>
      <c r="H206" s="10">
        <v>2183</v>
      </c>
      <c r="I206" s="10">
        <v>1996</v>
      </c>
      <c r="J206" s="99">
        <f t="shared" si="27"/>
        <v>91.43380668804397</v>
      </c>
    </row>
    <row r="207" spans="1:10" ht="16.5" customHeight="1">
      <c r="A207" s="23" t="s">
        <v>200</v>
      </c>
      <c r="B207" s="19">
        <v>805</v>
      </c>
      <c r="C207" s="26" t="s">
        <v>389</v>
      </c>
      <c r="D207" s="26" t="s">
        <v>381</v>
      </c>
      <c r="E207" s="27" t="s">
        <v>226</v>
      </c>
      <c r="F207" s="28"/>
      <c r="G207" s="10">
        <f>G208+G210+G212</f>
        <v>16346</v>
      </c>
      <c r="H207" s="10">
        <f>H208+H210+H212</f>
        <v>16346</v>
      </c>
      <c r="I207" s="10">
        <f>I208+I210+I212</f>
        <v>16332</v>
      </c>
      <c r="J207" s="99">
        <f t="shared" si="27"/>
        <v>99.91435213507891</v>
      </c>
    </row>
    <row r="208" spans="1:10" ht="16.5" customHeight="1">
      <c r="A208" s="23" t="s">
        <v>413</v>
      </c>
      <c r="B208" s="19">
        <v>805</v>
      </c>
      <c r="C208" s="26" t="s">
        <v>389</v>
      </c>
      <c r="D208" s="26" t="s">
        <v>381</v>
      </c>
      <c r="E208" s="19" t="s">
        <v>432</v>
      </c>
      <c r="F208" s="21"/>
      <c r="G208" s="10">
        <f>G209</f>
        <v>1837</v>
      </c>
      <c r="H208" s="10">
        <f>H209</f>
        <v>1837</v>
      </c>
      <c r="I208" s="10">
        <f>I209</f>
        <v>1824</v>
      </c>
      <c r="J208" s="99">
        <f t="shared" si="27"/>
        <v>99.29232444202503</v>
      </c>
    </row>
    <row r="209" spans="1:10" ht="16.5" customHeight="1">
      <c r="A209" s="60" t="s">
        <v>419</v>
      </c>
      <c r="B209" s="19">
        <v>805</v>
      </c>
      <c r="C209" s="26" t="s">
        <v>389</v>
      </c>
      <c r="D209" s="26" t="s">
        <v>381</v>
      </c>
      <c r="E209" s="19" t="s">
        <v>432</v>
      </c>
      <c r="F209" s="21" t="s">
        <v>420</v>
      </c>
      <c r="G209" s="10">
        <f>5250-3013-400</f>
        <v>1837</v>
      </c>
      <c r="H209" s="10">
        <f>5250-3013-400</f>
        <v>1837</v>
      </c>
      <c r="I209" s="10">
        <v>1824</v>
      </c>
      <c r="J209" s="99">
        <f t="shared" si="27"/>
        <v>99.29232444202503</v>
      </c>
    </row>
    <row r="210" spans="1:10" ht="17.25" customHeight="1" hidden="1">
      <c r="A210" s="23" t="s">
        <v>203</v>
      </c>
      <c r="B210" s="19">
        <v>805</v>
      </c>
      <c r="C210" s="20" t="s">
        <v>389</v>
      </c>
      <c r="D210" s="20" t="s">
        <v>381</v>
      </c>
      <c r="E210" s="19" t="s">
        <v>229</v>
      </c>
      <c r="F210" s="21"/>
      <c r="G210" s="10">
        <f>G211</f>
        <v>0</v>
      </c>
      <c r="H210" s="10">
        <f>H211</f>
        <v>0</v>
      </c>
      <c r="I210" s="10">
        <f>I211</f>
        <v>0</v>
      </c>
      <c r="J210" s="99" t="e">
        <f t="shared" si="27"/>
        <v>#DIV/0!</v>
      </c>
    </row>
    <row r="211" spans="1:10" ht="17.25" customHeight="1" hidden="1">
      <c r="A211" s="60" t="s">
        <v>419</v>
      </c>
      <c r="B211" s="19">
        <v>805</v>
      </c>
      <c r="C211" s="20" t="s">
        <v>389</v>
      </c>
      <c r="D211" s="20" t="s">
        <v>381</v>
      </c>
      <c r="E211" s="19" t="s">
        <v>229</v>
      </c>
      <c r="F211" s="21" t="s">
        <v>420</v>
      </c>
      <c r="G211" s="10">
        <f>2700-1900-800</f>
        <v>0</v>
      </c>
      <c r="H211" s="10">
        <f>2700-1900-800</f>
        <v>0</v>
      </c>
      <c r="I211" s="10">
        <f>2700-1900-800</f>
        <v>0</v>
      </c>
      <c r="J211" s="99" t="e">
        <f t="shared" si="27"/>
        <v>#DIV/0!</v>
      </c>
    </row>
    <row r="212" spans="1:10" ht="32.25" customHeight="1">
      <c r="A212" s="8" t="s">
        <v>201</v>
      </c>
      <c r="B212" s="19">
        <v>805</v>
      </c>
      <c r="C212" s="26" t="s">
        <v>389</v>
      </c>
      <c r="D212" s="26" t="s">
        <v>381</v>
      </c>
      <c r="E212" s="19" t="s">
        <v>431</v>
      </c>
      <c r="F212" s="21"/>
      <c r="G212" s="10">
        <f>G213</f>
        <v>14509</v>
      </c>
      <c r="H212" s="10">
        <f>H213</f>
        <v>14509</v>
      </c>
      <c r="I212" s="10">
        <f>I213</f>
        <v>14508</v>
      </c>
      <c r="J212" s="99">
        <f t="shared" si="27"/>
        <v>99.99310772623889</v>
      </c>
    </row>
    <row r="213" spans="1:10" ht="16.5" customHeight="1">
      <c r="A213" s="60" t="s">
        <v>419</v>
      </c>
      <c r="B213" s="19">
        <v>805</v>
      </c>
      <c r="C213" s="26" t="s">
        <v>389</v>
      </c>
      <c r="D213" s="26" t="s">
        <v>381</v>
      </c>
      <c r="E213" s="19" t="s">
        <v>431</v>
      </c>
      <c r="F213" s="21" t="s">
        <v>420</v>
      </c>
      <c r="G213" s="10">
        <f>21400-8591+1200+500</f>
        <v>14509</v>
      </c>
      <c r="H213" s="10">
        <f>21400-8591+1200+500</f>
        <v>14509</v>
      </c>
      <c r="I213" s="10">
        <v>14508</v>
      </c>
      <c r="J213" s="99">
        <f t="shared" si="27"/>
        <v>99.99310772623889</v>
      </c>
    </row>
    <row r="214" spans="1:10" ht="16.5" customHeight="1">
      <c r="A214" s="23" t="s">
        <v>199</v>
      </c>
      <c r="B214" s="19">
        <v>805</v>
      </c>
      <c r="C214" s="20" t="s">
        <v>389</v>
      </c>
      <c r="D214" s="20" t="s">
        <v>381</v>
      </c>
      <c r="E214" s="19" t="s">
        <v>417</v>
      </c>
      <c r="F214" s="21"/>
      <c r="G214" s="10">
        <f>G215+G217+G219</f>
        <v>195</v>
      </c>
      <c r="H214" s="10">
        <f>H215+H217+H219</f>
        <v>195</v>
      </c>
      <c r="I214" s="10">
        <f>I215+I217+I219</f>
        <v>192</v>
      </c>
      <c r="J214" s="99">
        <f t="shared" si="27"/>
        <v>98.46153846153847</v>
      </c>
    </row>
    <row r="215" spans="1:10" ht="32.25" customHeight="1">
      <c r="A215" s="31" t="s">
        <v>567</v>
      </c>
      <c r="B215" s="19">
        <v>805</v>
      </c>
      <c r="C215" s="20" t="s">
        <v>389</v>
      </c>
      <c r="D215" s="20" t="s">
        <v>381</v>
      </c>
      <c r="E215" s="19" t="s">
        <v>215</v>
      </c>
      <c r="F215" s="21"/>
      <c r="G215" s="10">
        <f>G216</f>
        <v>75</v>
      </c>
      <c r="H215" s="10">
        <f>H216</f>
        <v>75</v>
      </c>
      <c r="I215" s="10">
        <f>I216</f>
        <v>75</v>
      </c>
      <c r="J215" s="99">
        <f t="shared" si="27"/>
        <v>100</v>
      </c>
    </row>
    <row r="216" spans="1:10" ht="16.5" customHeight="1">
      <c r="A216" s="60" t="s">
        <v>419</v>
      </c>
      <c r="B216" s="19">
        <v>805</v>
      </c>
      <c r="C216" s="20" t="s">
        <v>389</v>
      </c>
      <c r="D216" s="20" t="s">
        <v>381</v>
      </c>
      <c r="E216" s="19" t="s">
        <v>215</v>
      </c>
      <c r="F216" s="21" t="s">
        <v>420</v>
      </c>
      <c r="G216" s="10">
        <f>75-75+75</f>
        <v>75</v>
      </c>
      <c r="H216" s="10">
        <f>75-75+75</f>
        <v>75</v>
      </c>
      <c r="I216" s="10">
        <f>75-75+75</f>
        <v>75</v>
      </c>
      <c r="J216" s="99">
        <f t="shared" si="27"/>
        <v>100</v>
      </c>
    </row>
    <row r="217" spans="1:10" ht="49.5" customHeight="1">
      <c r="A217" s="64" t="s">
        <v>569</v>
      </c>
      <c r="B217" s="19">
        <v>805</v>
      </c>
      <c r="C217" s="26" t="s">
        <v>389</v>
      </c>
      <c r="D217" s="26" t="s">
        <v>381</v>
      </c>
      <c r="E217" s="27" t="s">
        <v>480</v>
      </c>
      <c r="F217" s="28"/>
      <c r="G217" s="10">
        <f>G218</f>
        <v>120</v>
      </c>
      <c r="H217" s="10">
        <f>H218</f>
        <v>120</v>
      </c>
      <c r="I217" s="10">
        <f>I218</f>
        <v>117</v>
      </c>
      <c r="J217" s="99">
        <f t="shared" si="27"/>
        <v>97.5</v>
      </c>
    </row>
    <row r="218" spans="1:10" ht="16.5" customHeight="1">
      <c r="A218" s="60" t="s">
        <v>419</v>
      </c>
      <c r="B218" s="19">
        <v>805</v>
      </c>
      <c r="C218" s="26" t="s">
        <v>389</v>
      </c>
      <c r="D218" s="26" t="s">
        <v>381</v>
      </c>
      <c r="E218" s="27" t="s">
        <v>480</v>
      </c>
      <c r="F218" s="28" t="s">
        <v>420</v>
      </c>
      <c r="G218" s="10">
        <f>120-120+120-120+120</f>
        <v>120</v>
      </c>
      <c r="H218" s="10">
        <f>120-120+120-120+120</f>
        <v>120</v>
      </c>
      <c r="I218" s="10">
        <v>117</v>
      </c>
      <c r="J218" s="99">
        <f t="shared" si="27"/>
        <v>97.5</v>
      </c>
    </row>
    <row r="219" spans="1:10" ht="48" customHeight="1" hidden="1">
      <c r="A219" s="64" t="s">
        <v>499</v>
      </c>
      <c r="B219" s="19">
        <v>805</v>
      </c>
      <c r="C219" s="26" t="s">
        <v>389</v>
      </c>
      <c r="D219" s="26" t="s">
        <v>381</v>
      </c>
      <c r="E219" s="27" t="s">
        <v>481</v>
      </c>
      <c r="F219" s="28"/>
      <c r="G219" s="10">
        <f>G220</f>
        <v>0</v>
      </c>
      <c r="H219" s="10">
        <f>H220</f>
        <v>0</v>
      </c>
      <c r="I219" s="10">
        <f>I220</f>
        <v>0</v>
      </c>
      <c r="J219" s="99" t="e">
        <f t="shared" si="27"/>
        <v>#DIV/0!</v>
      </c>
    </row>
    <row r="220" spans="1:10" ht="17.25" customHeight="1" hidden="1">
      <c r="A220" s="60" t="s">
        <v>419</v>
      </c>
      <c r="B220" s="19">
        <v>805</v>
      </c>
      <c r="C220" s="26" t="s">
        <v>389</v>
      </c>
      <c r="D220" s="26" t="s">
        <v>381</v>
      </c>
      <c r="E220" s="27" t="s">
        <v>481</v>
      </c>
      <c r="F220" s="28" t="s">
        <v>420</v>
      </c>
      <c r="G220" s="10">
        <f>3070-3070</f>
        <v>0</v>
      </c>
      <c r="H220" s="10">
        <f>3070-3070</f>
        <v>0</v>
      </c>
      <c r="I220" s="10">
        <f>3070-3070</f>
        <v>0</v>
      </c>
      <c r="J220" s="99" t="e">
        <f t="shared" si="27"/>
        <v>#DIV/0!</v>
      </c>
    </row>
    <row r="221" spans="1:10" ht="12" customHeight="1">
      <c r="A221" s="60"/>
      <c r="B221" s="19"/>
      <c r="C221" s="26"/>
      <c r="D221" s="26"/>
      <c r="E221" s="27"/>
      <c r="F221" s="28"/>
      <c r="G221" s="10"/>
      <c r="H221" s="10"/>
      <c r="I221" s="10"/>
      <c r="J221" s="99"/>
    </row>
    <row r="222" spans="1:10" ht="28.5" customHeight="1">
      <c r="A222" s="24" t="s">
        <v>576</v>
      </c>
      <c r="B222" s="15">
        <v>806</v>
      </c>
      <c r="C222" s="16"/>
      <c r="D222" s="16"/>
      <c r="E222" s="17"/>
      <c r="F222" s="18"/>
      <c r="G222" s="5">
        <f aca="true" t="shared" si="28" ref="G222:I223">G223</f>
        <v>8582</v>
      </c>
      <c r="H222" s="5">
        <f t="shared" si="28"/>
        <v>8682</v>
      </c>
      <c r="I222" s="5">
        <f t="shared" si="28"/>
        <v>8247</v>
      </c>
      <c r="J222" s="103">
        <f t="shared" si="27"/>
        <v>94.98963372494816</v>
      </c>
    </row>
    <row r="223" spans="1:10" ht="16.5" customHeight="1">
      <c r="A223" s="62" t="s">
        <v>206</v>
      </c>
      <c r="B223" s="15">
        <v>806</v>
      </c>
      <c r="C223" s="30" t="s">
        <v>389</v>
      </c>
      <c r="D223" s="30"/>
      <c r="E223" s="15"/>
      <c r="F223" s="33"/>
      <c r="G223" s="5">
        <f t="shared" si="28"/>
        <v>8582</v>
      </c>
      <c r="H223" s="5">
        <f t="shared" si="28"/>
        <v>8682</v>
      </c>
      <c r="I223" s="5">
        <f t="shared" si="28"/>
        <v>8247</v>
      </c>
      <c r="J223" s="103">
        <f t="shared" si="27"/>
        <v>94.98963372494816</v>
      </c>
    </row>
    <row r="224" spans="1:10" ht="16.5" customHeight="1">
      <c r="A224" s="23" t="s">
        <v>200</v>
      </c>
      <c r="B224" s="27">
        <v>806</v>
      </c>
      <c r="C224" s="26" t="s">
        <v>389</v>
      </c>
      <c r="D224" s="26" t="s">
        <v>381</v>
      </c>
      <c r="E224" s="27"/>
      <c r="F224" s="28"/>
      <c r="G224" s="10">
        <f>G229+G236+G225</f>
        <v>8582</v>
      </c>
      <c r="H224" s="10">
        <f>H229+H236+H225</f>
        <v>8682</v>
      </c>
      <c r="I224" s="10">
        <f>I229+I236+I225</f>
        <v>8247</v>
      </c>
      <c r="J224" s="99">
        <f t="shared" si="27"/>
        <v>94.98963372494816</v>
      </c>
    </row>
    <row r="225" spans="1:10" ht="16.5" customHeight="1">
      <c r="A225" s="60" t="s">
        <v>371</v>
      </c>
      <c r="B225" s="26" t="s">
        <v>287</v>
      </c>
      <c r="C225" s="26" t="s">
        <v>389</v>
      </c>
      <c r="D225" s="26" t="s">
        <v>381</v>
      </c>
      <c r="E225" s="19" t="s">
        <v>427</v>
      </c>
      <c r="F225" s="39"/>
      <c r="G225" s="10">
        <f aca="true" t="shared" si="29" ref="G225:I227">G226</f>
        <v>0</v>
      </c>
      <c r="H225" s="10">
        <f t="shared" si="29"/>
        <v>100</v>
      </c>
      <c r="I225" s="10">
        <f t="shared" si="29"/>
        <v>100</v>
      </c>
      <c r="J225" s="99">
        <f t="shared" si="27"/>
        <v>100</v>
      </c>
    </row>
    <row r="226" spans="1:10" ht="16.5" customHeight="1">
      <c r="A226" s="8" t="s">
        <v>426</v>
      </c>
      <c r="B226" s="26" t="s">
        <v>287</v>
      </c>
      <c r="C226" s="26" t="s">
        <v>389</v>
      </c>
      <c r="D226" s="26" t="s">
        <v>381</v>
      </c>
      <c r="E226" s="26" t="s">
        <v>428</v>
      </c>
      <c r="F226" s="21"/>
      <c r="G226" s="10">
        <f t="shared" si="29"/>
        <v>0</v>
      </c>
      <c r="H226" s="10">
        <f t="shared" si="29"/>
        <v>100</v>
      </c>
      <c r="I226" s="10">
        <f t="shared" si="29"/>
        <v>100</v>
      </c>
      <c r="J226" s="99">
        <f t="shared" si="27"/>
        <v>100</v>
      </c>
    </row>
    <row r="227" spans="1:10" ht="16.5" customHeight="1">
      <c r="A227" s="67" t="s">
        <v>469</v>
      </c>
      <c r="B227" s="26" t="s">
        <v>287</v>
      </c>
      <c r="C227" s="26" t="s">
        <v>389</v>
      </c>
      <c r="D227" s="26" t="s">
        <v>381</v>
      </c>
      <c r="E227" s="26" t="s">
        <v>311</v>
      </c>
      <c r="F227" s="21"/>
      <c r="G227" s="10">
        <f t="shared" si="29"/>
        <v>0</v>
      </c>
      <c r="H227" s="10">
        <f t="shared" si="29"/>
        <v>100</v>
      </c>
      <c r="I227" s="10">
        <f t="shared" si="29"/>
        <v>100</v>
      </c>
      <c r="J227" s="99">
        <f t="shared" si="27"/>
        <v>100</v>
      </c>
    </row>
    <row r="228" spans="1:10" ht="16.5" customHeight="1">
      <c r="A228" s="60" t="s">
        <v>419</v>
      </c>
      <c r="B228" s="26" t="s">
        <v>287</v>
      </c>
      <c r="C228" s="26" t="s">
        <v>389</v>
      </c>
      <c r="D228" s="26" t="s">
        <v>381</v>
      </c>
      <c r="E228" s="26" t="s">
        <v>311</v>
      </c>
      <c r="F228" s="21" t="s">
        <v>420</v>
      </c>
      <c r="G228" s="10">
        <v>0</v>
      </c>
      <c r="H228" s="10">
        <v>100</v>
      </c>
      <c r="I228" s="10">
        <v>100</v>
      </c>
      <c r="J228" s="99">
        <f t="shared" si="27"/>
        <v>100</v>
      </c>
    </row>
    <row r="229" spans="1:10" ht="16.5" customHeight="1">
      <c r="A229" s="23" t="s">
        <v>200</v>
      </c>
      <c r="B229" s="27">
        <v>806</v>
      </c>
      <c r="C229" s="26" t="s">
        <v>389</v>
      </c>
      <c r="D229" s="26" t="s">
        <v>381</v>
      </c>
      <c r="E229" s="27" t="s">
        <v>226</v>
      </c>
      <c r="F229" s="28"/>
      <c r="G229" s="10">
        <f>G230+G232+G234</f>
        <v>8507</v>
      </c>
      <c r="H229" s="10">
        <f>H230+H232+H234</f>
        <v>8507</v>
      </c>
      <c r="I229" s="10">
        <f>I230+I232+I234</f>
        <v>8072</v>
      </c>
      <c r="J229" s="99">
        <f t="shared" si="27"/>
        <v>94.88656400611262</v>
      </c>
    </row>
    <row r="230" spans="1:10" ht="16.5" customHeight="1">
      <c r="A230" s="23" t="s">
        <v>413</v>
      </c>
      <c r="B230" s="27">
        <v>806</v>
      </c>
      <c r="C230" s="26" t="s">
        <v>389</v>
      </c>
      <c r="D230" s="26" t="s">
        <v>381</v>
      </c>
      <c r="E230" s="19" t="s">
        <v>432</v>
      </c>
      <c r="F230" s="21"/>
      <c r="G230" s="10">
        <f>G231</f>
        <v>1070</v>
      </c>
      <c r="H230" s="10">
        <f>H231</f>
        <v>1070</v>
      </c>
      <c r="I230" s="10">
        <f>I231</f>
        <v>1070</v>
      </c>
      <c r="J230" s="99">
        <f t="shared" si="27"/>
        <v>100</v>
      </c>
    </row>
    <row r="231" spans="1:10" ht="16.5" customHeight="1">
      <c r="A231" s="60" t="s">
        <v>419</v>
      </c>
      <c r="B231" s="27">
        <v>806</v>
      </c>
      <c r="C231" s="26" t="s">
        <v>389</v>
      </c>
      <c r="D231" s="26" t="s">
        <v>381</v>
      </c>
      <c r="E231" s="19" t="s">
        <v>432</v>
      </c>
      <c r="F231" s="21" t="s">
        <v>420</v>
      </c>
      <c r="G231" s="10">
        <f>1070</f>
        <v>1070</v>
      </c>
      <c r="H231" s="10">
        <f>1070</f>
        <v>1070</v>
      </c>
      <c r="I231" s="10">
        <f>1070</f>
        <v>1070</v>
      </c>
      <c r="J231" s="99">
        <f t="shared" si="27"/>
        <v>100</v>
      </c>
    </row>
    <row r="232" spans="1:10" ht="16.5" customHeight="1">
      <c r="A232" s="23" t="s">
        <v>203</v>
      </c>
      <c r="B232" s="27">
        <v>806</v>
      </c>
      <c r="C232" s="20" t="s">
        <v>389</v>
      </c>
      <c r="D232" s="20" t="s">
        <v>381</v>
      </c>
      <c r="E232" s="19" t="s">
        <v>229</v>
      </c>
      <c r="F232" s="21"/>
      <c r="G232" s="10">
        <f>G233</f>
        <v>170</v>
      </c>
      <c r="H232" s="10">
        <f>H233</f>
        <v>170</v>
      </c>
      <c r="I232" s="10">
        <f>I233</f>
        <v>170</v>
      </c>
      <c r="J232" s="99">
        <f t="shared" si="27"/>
        <v>100</v>
      </c>
    </row>
    <row r="233" spans="1:10" ht="17.25" customHeight="1">
      <c r="A233" s="60" t="s">
        <v>419</v>
      </c>
      <c r="B233" s="27">
        <v>806</v>
      </c>
      <c r="C233" s="20" t="s">
        <v>389</v>
      </c>
      <c r="D233" s="20" t="s">
        <v>381</v>
      </c>
      <c r="E233" s="19" t="s">
        <v>229</v>
      </c>
      <c r="F233" s="21" t="s">
        <v>420</v>
      </c>
      <c r="G233" s="10">
        <f>1900-1600-70-60</f>
        <v>170</v>
      </c>
      <c r="H233" s="10">
        <f>1900-1600-70-60</f>
        <v>170</v>
      </c>
      <c r="I233" s="10">
        <f>1900-1600-70-60</f>
        <v>170</v>
      </c>
      <c r="J233" s="99">
        <f t="shared" si="27"/>
        <v>100</v>
      </c>
    </row>
    <row r="234" spans="1:10" ht="32.25" customHeight="1">
      <c r="A234" s="8" t="s">
        <v>201</v>
      </c>
      <c r="B234" s="27">
        <v>806</v>
      </c>
      <c r="C234" s="26" t="s">
        <v>389</v>
      </c>
      <c r="D234" s="26" t="s">
        <v>381</v>
      </c>
      <c r="E234" s="19" t="s">
        <v>431</v>
      </c>
      <c r="F234" s="21"/>
      <c r="G234" s="10">
        <f>G235</f>
        <v>7267</v>
      </c>
      <c r="H234" s="10">
        <f>H235</f>
        <v>7267</v>
      </c>
      <c r="I234" s="10">
        <f>I235</f>
        <v>6832</v>
      </c>
      <c r="J234" s="99">
        <f t="shared" si="27"/>
        <v>94.01403605339205</v>
      </c>
    </row>
    <row r="235" spans="1:10" ht="16.5" customHeight="1">
      <c r="A235" s="60" t="s">
        <v>419</v>
      </c>
      <c r="B235" s="27">
        <v>806</v>
      </c>
      <c r="C235" s="26" t="s">
        <v>389</v>
      </c>
      <c r="D235" s="26" t="s">
        <v>381</v>
      </c>
      <c r="E235" s="19" t="s">
        <v>431</v>
      </c>
      <c r="F235" s="21" t="s">
        <v>420</v>
      </c>
      <c r="G235" s="10">
        <f>12790-5653+70+60</f>
        <v>7267</v>
      </c>
      <c r="H235" s="10">
        <f>12790-5653+70+60</f>
        <v>7267</v>
      </c>
      <c r="I235" s="10">
        <v>6832</v>
      </c>
      <c r="J235" s="99">
        <f t="shared" si="27"/>
        <v>94.01403605339205</v>
      </c>
    </row>
    <row r="236" spans="1:10" ht="16.5" customHeight="1">
      <c r="A236" s="23" t="s">
        <v>199</v>
      </c>
      <c r="B236" s="27">
        <v>806</v>
      </c>
      <c r="C236" s="20" t="s">
        <v>389</v>
      </c>
      <c r="D236" s="26" t="s">
        <v>381</v>
      </c>
      <c r="E236" s="19" t="s">
        <v>417</v>
      </c>
      <c r="F236" s="21"/>
      <c r="G236" s="10">
        <f>G237+G239+G242</f>
        <v>75</v>
      </c>
      <c r="H236" s="10">
        <f>H237+H239+H242</f>
        <v>75</v>
      </c>
      <c r="I236" s="10">
        <f>I237+I239+I242</f>
        <v>75</v>
      </c>
      <c r="J236" s="99">
        <f t="shared" si="27"/>
        <v>100</v>
      </c>
    </row>
    <row r="237" spans="1:10" ht="32.25" customHeight="1">
      <c r="A237" s="31" t="s">
        <v>567</v>
      </c>
      <c r="B237" s="27">
        <v>806</v>
      </c>
      <c r="C237" s="20" t="s">
        <v>389</v>
      </c>
      <c r="D237" s="26" t="s">
        <v>381</v>
      </c>
      <c r="E237" s="19" t="s">
        <v>215</v>
      </c>
      <c r="F237" s="21"/>
      <c r="G237" s="10">
        <f>G238</f>
        <v>75</v>
      </c>
      <c r="H237" s="10">
        <f>H238</f>
        <v>75</v>
      </c>
      <c r="I237" s="10">
        <f>I238</f>
        <v>75</v>
      </c>
      <c r="J237" s="99">
        <f t="shared" si="27"/>
        <v>100</v>
      </c>
    </row>
    <row r="238" spans="1:10" ht="16.5" customHeight="1">
      <c r="A238" s="60" t="s">
        <v>419</v>
      </c>
      <c r="B238" s="27">
        <v>806</v>
      </c>
      <c r="C238" s="20" t="s">
        <v>389</v>
      </c>
      <c r="D238" s="26" t="s">
        <v>381</v>
      </c>
      <c r="E238" s="19" t="s">
        <v>215</v>
      </c>
      <c r="F238" s="21" t="s">
        <v>420</v>
      </c>
      <c r="G238" s="10">
        <f>75-75+75</f>
        <v>75</v>
      </c>
      <c r="H238" s="10">
        <f>75-75+75</f>
        <v>75</v>
      </c>
      <c r="I238" s="10">
        <f>75-75+75</f>
        <v>75</v>
      </c>
      <c r="J238" s="99">
        <f t="shared" si="27"/>
        <v>100</v>
      </c>
    </row>
    <row r="239" spans="1:10" ht="33" customHeight="1" hidden="1">
      <c r="A239" s="31" t="s">
        <v>497</v>
      </c>
      <c r="B239" s="27">
        <v>806</v>
      </c>
      <c r="C239" s="20" t="s">
        <v>389</v>
      </c>
      <c r="D239" s="20" t="s">
        <v>381</v>
      </c>
      <c r="E239" s="19" t="s">
        <v>243</v>
      </c>
      <c r="F239" s="21"/>
      <c r="G239" s="10">
        <f aca="true" t="shared" si="30" ref="G239:I240">G240</f>
        <v>0</v>
      </c>
      <c r="H239" s="10">
        <f t="shared" si="30"/>
        <v>0</v>
      </c>
      <c r="I239" s="10">
        <f t="shared" si="30"/>
        <v>0</v>
      </c>
      <c r="J239" s="99" t="e">
        <f t="shared" si="27"/>
        <v>#DIV/0!</v>
      </c>
    </row>
    <row r="240" spans="1:10" ht="48" customHeight="1" hidden="1">
      <c r="A240" s="31" t="s">
        <v>498</v>
      </c>
      <c r="B240" s="27">
        <v>806</v>
      </c>
      <c r="C240" s="20" t="s">
        <v>389</v>
      </c>
      <c r="D240" s="20" t="s">
        <v>381</v>
      </c>
      <c r="E240" s="19" t="s">
        <v>454</v>
      </c>
      <c r="F240" s="21"/>
      <c r="G240" s="10">
        <f t="shared" si="30"/>
        <v>0</v>
      </c>
      <c r="H240" s="10">
        <f t="shared" si="30"/>
        <v>0</v>
      </c>
      <c r="I240" s="10">
        <f t="shared" si="30"/>
        <v>0</v>
      </c>
      <c r="J240" s="99" t="e">
        <f t="shared" si="27"/>
        <v>#DIV/0!</v>
      </c>
    </row>
    <row r="241" spans="1:10" ht="17.25" customHeight="1" hidden="1">
      <c r="A241" s="60" t="s">
        <v>419</v>
      </c>
      <c r="B241" s="27">
        <v>806</v>
      </c>
      <c r="C241" s="20" t="s">
        <v>389</v>
      </c>
      <c r="D241" s="20" t="s">
        <v>381</v>
      </c>
      <c r="E241" s="19" t="s">
        <v>454</v>
      </c>
      <c r="F241" s="21" t="s">
        <v>420</v>
      </c>
      <c r="G241" s="10">
        <f>300-300</f>
        <v>0</v>
      </c>
      <c r="H241" s="10">
        <f>300-300</f>
        <v>0</v>
      </c>
      <c r="I241" s="10">
        <f>300-300</f>
        <v>0</v>
      </c>
      <c r="J241" s="99" t="e">
        <f t="shared" si="27"/>
        <v>#DIV/0!</v>
      </c>
    </row>
    <row r="242" spans="1:10" ht="48" customHeight="1" hidden="1">
      <c r="A242" s="64" t="s">
        <v>499</v>
      </c>
      <c r="B242" s="27">
        <v>806</v>
      </c>
      <c r="C242" s="26" t="s">
        <v>389</v>
      </c>
      <c r="D242" s="26" t="s">
        <v>381</v>
      </c>
      <c r="E242" s="27" t="s">
        <v>481</v>
      </c>
      <c r="F242" s="28"/>
      <c r="G242" s="10">
        <f>G243</f>
        <v>0</v>
      </c>
      <c r="H242" s="10">
        <f>H243</f>
        <v>0</v>
      </c>
      <c r="I242" s="10">
        <f>I243</f>
        <v>0</v>
      </c>
      <c r="J242" s="99" t="e">
        <f t="shared" si="27"/>
        <v>#DIV/0!</v>
      </c>
    </row>
    <row r="243" spans="1:10" ht="17.25" customHeight="1" hidden="1">
      <c r="A243" s="60" t="s">
        <v>419</v>
      </c>
      <c r="B243" s="27">
        <v>806</v>
      </c>
      <c r="C243" s="26" t="s">
        <v>389</v>
      </c>
      <c r="D243" s="26" t="s">
        <v>381</v>
      </c>
      <c r="E243" s="27" t="s">
        <v>481</v>
      </c>
      <c r="F243" s="28" t="s">
        <v>420</v>
      </c>
      <c r="G243" s="10">
        <f>428-428</f>
        <v>0</v>
      </c>
      <c r="H243" s="10">
        <f>428-428</f>
        <v>0</v>
      </c>
      <c r="I243" s="10">
        <f>428-428</f>
        <v>0</v>
      </c>
      <c r="J243" s="99" t="e">
        <f t="shared" si="27"/>
        <v>#DIV/0!</v>
      </c>
    </row>
    <row r="244" spans="1:10" ht="12" customHeight="1">
      <c r="A244" s="60"/>
      <c r="B244" s="19"/>
      <c r="C244" s="26"/>
      <c r="D244" s="26"/>
      <c r="E244" s="27"/>
      <c r="F244" s="28"/>
      <c r="G244" s="10"/>
      <c r="H244" s="10"/>
      <c r="I244" s="10"/>
      <c r="J244" s="99"/>
    </row>
    <row r="245" spans="1:10" ht="28.5" customHeight="1">
      <c r="A245" s="24" t="s">
        <v>577</v>
      </c>
      <c r="B245" s="15">
        <v>807</v>
      </c>
      <c r="C245" s="16"/>
      <c r="D245" s="16"/>
      <c r="E245" s="17"/>
      <c r="F245" s="18"/>
      <c r="G245" s="5">
        <f aca="true" t="shared" si="31" ref="G245:I246">G246</f>
        <v>8065</v>
      </c>
      <c r="H245" s="5">
        <f t="shared" si="31"/>
        <v>8446</v>
      </c>
      <c r="I245" s="5">
        <f t="shared" si="31"/>
        <v>8425</v>
      </c>
      <c r="J245" s="103">
        <f t="shared" si="27"/>
        <v>99.75136159128581</v>
      </c>
    </row>
    <row r="246" spans="1:10" ht="16.5" customHeight="1">
      <c r="A246" s="62" t="s">
        <v>206</v>
      </c>
      <c r="B246" s="15">
        <v>807</v>
      </c>
      <c r="C246" s="30" t="s">
        <v>389</v>
      </c>
      <c r="D246" s="30"/>
      <c r="E246" s="15"/>
      <c r="F246" s="33"/>
      <c r="G246" s="5">
        <f t="shared" si="31"/>
        <v>8065</v>
      </c>
      <c r="H246" s="5">
        <f t="shared" si="31"/>
        <v>8446</v>
      </c>
      <c r="I246" s="5">
        <f t="shared" si="31"/>
        <v>8425</v>
      </c>
      <c r="J246" s="103">
        <f t="shared" si="27"/>
        <v>99.75136159128581</v>
      </c>
    </row>
    <row r="247" spans="1:10" ht="16.5" customHeight="1">
      <c r="A247" s="23" t="s">
        <v>200</v>
      </c>
      <c r="B247" s="27">
        <v>807</v>
      </c>
      <c r="C247" s="26" t="s">
        <v>389</v>
      </c>
      <c r="D247" s="26" t="s">
        <v>381</v>
      </c>
      <c r="E247" s="27"/>
      <c r="F247" s="28"/>
      <c r="G247" s="10">
        <f>G252+G261+G248</f>
        <v>8065</v>
      </c>
      <c r="H247" s="10">
        <f>H252+H261+H248</f>
        <v>8446</v>
      </c>
      <c r="I247" s="10">
        <f>I252+I261+I248</f>
        <v>8425</v>
      </c>
      <c r="J247" s="99">
        <f t="shared" si="27"/>
        <v>99.75136159128581</v>
      </c>
    </row>
    <row r="248" spans="1:10" ht="16.5" customHeight="1">
      <c r="A248" s="60" t="s">
        <v>371</v>
      </c>
      <c r="B248" s="26" t="s">
        <v>288</v>
      </c>
      <c r="C248" s="26" t="s">
        <v>389</v>
      </c>
      <c r="D248" s="26" t="s">
        <v>381</v>
      </c>
      <c r="E248" s="19" t="s">
        <v>427</v>
      </c>
      <c r="F248" s="39"/>
      <c r="G248" s="10">
        <f aca="true" t="shared" si="32" ref="G248:I250">G249</f>
        <v>0</v>
      </c>
      <c r="H248" s="10">
        <f t="shared" si="32"/>
        <v>381</v>
      </c>
      <c r="I248" s="10">
        <f t="shared" si="32"/>
        <v>381</v>
      </c>
      <c r="J248" s="99">
        <f t="shared" si="27"/>
        <v>100</v>
      </c>
    </row>
    <row r="249" spans="1:10" ht="16.5" customHeight="1">
      <c r="A249" s="8" t="s">
        <v>426</v>
      </c>
      <c r="B249" s="26" t="s">
        <v>288</v>
      </c>
      <c r="C249" s="26" t="s">
        <v>389</v>
      </c>
      <c r="D249" s="26" t="s">
        <v>381</v>
      </c>
      <c r="E249" s="26" t="s">
        <v>428</v>
      </c>
      <c r="F249" s="21"/>
      <c r="G249" s="10">
        <f t="shared" si="32"/>
        <v>0</v>
      </c>
      <c r="H249" s="10">
        <f t="shared" si="32"/>
        <v>381</v>
      </c>
      <c r="I249" s="10">
        <f t="shared" si="32"/>
        <v>381</v>
      </c>
      <c r="J249" s="99">
        <f t="shared" si="27"/>
        <v>100</v>
      </c>
    </row>
    <row r="250" spans="1:10" ht="16.5" customHeight="1">
      <c r="A250" s="67" t="s">
        <v>469</v>
      </c>
      <c r="B250" s="26" t="s">
        <v>288</v>
      </c>
      <c r="C250" s="26" t="s">
        <v>389</v>
      </c>
      <c r="D250" s="26" t="s">
        <v>381</v>
      </c>
      <c r="E250" s="26" t="s">
        <v>311</v>
      </c>
      <c r="F250" s="21"/>
      <c r="G250" s="10">
        <f t="shared" si="32"/>
        <v>0</v>
      </c>
      <c r="H250" s="10">
        <f t="shared" si="32"/>
        <v>381</v>
      </c>
      <c r="I250" s="10">
        <f t="shared" si="32"/>
        <v>381</v>
      </c>
      <c r="J250" s="99">
        <f t="shared" si="27"/>
        <v>100</v>
      </c>
    </row>
    <row r="251" spans="1:10" ht="16.5" customHeight="1">
      <c r="A251" s="60" t="s">
        <v>419</v>
      </c>
      <c r="B251" s="26" t="s">
        <v>288</v>
      </c>
      <c r="C251" s="26" t="s">
        <v>389</v>
      </c>
      <c r="D251" s="26" t="s">
        <v>381</v>
      </c>
      <c r="E251" s="26" t="s">
        <v>311</v>
      </c>
      <c r="F251" s="21" t="s">
        <v>420</v>
      </c>
      <c r="G251" s="10">
        <v>0</v>
      </c>
      <c r="H251" s="10">
        <v>381</v>
      </c>
      <c r="I251" s="10">
        <v>381</v>
      </c>
      <c r="J251" s="99">
        <f t="shared" si="27"/>
        <v>100</v>
      </c>
    </row>
    <row r="252" spans="1:10" ht="16.5" customHeight="1">
      <c r="A252" s="23" t="s">
        <v>200</v>
      </c>
      <c r="B252" s="27">
        <v>807</v>
      </c>
      <c r="C252" s="26" t="s">
        <v>389</v>
      </c>
      <c r="D252" s="26" t="s">
        <v>381</v>
      </c>
      <c r="E252" s="27" t="s">
        <v>226</v>
      </c>
      <c r="F252" s="28"/>
      <c r="G252" s="10">
        <f>G255+G257+G259+G253</f>
        <v>7990</v>
      </c>
      <c r="H252" s="10">
        <f>H255+H257+H259+H253</f>
        <v>7990</v>
      </c>
      <c r="I252" s="10">
        <f>I255+I257+I259+I253</f>
        <v>7969</v>
      </c>
      <c r="J252" s="99">
        <f t="shared" si="27"/>
        <v>99.73717146433042</v>
      </c>
    </row>
    <row r="253" spans="1:10" ht="49.5" customHeight="1">
      <c r="A253" s="31" t="s">
        <v>225</v>
      </c>
      <c r="B253" s="27">
        <v>807</v>
      </c>
      <c r="C253" s="26" t="s">
        <v>389</v>
      </c>
      <c r="D253" s="26" t="s">
        <v>381</v>
      </c>
      <c r="E253" s="27" t="s">
        <v>228</v>
      </c>
      <c r="F253" s="28"/>
      <c r="G253" s="10">
        <f>G254</f>
        <v>1112</v>
      </c>
      <c r="H253" s="10">
        <f>H254</f>
        <v>1112</v>
      </c>
      <c r="I253" s="10">
        <f>I254</f>
        <v>1111</v>
      </c>
      <c r="J253" s="99">
        <f t="shared" si="27"/>
        <v>99.91007194244604</v>
      </c>
    </row>
    <row r="254" spans="1:10" ht="16.5" customHeight="1">
      <c r="A254" s="60" t="s">
        <v>419</v>
      </c>
      <c r="B254" s="27">
        <v>807</v>
      </c>
      <c r="C254" s="26" t="s">
        <v>389</v>
      </c>
      <c r="D254" s="26" t="s">
        <v>381</v>
      </c>
      <c r="E254" s="27" t="s">
        <v>228</v>
      </c>
      <c r="F254" s="28" t="s">
        <v>420</v>
      </c>
      <c r="G254" s="10">
        <v>1112</v>
      </c>
      <c r="H254" s="10">
        <v>1112</v>
      </c>
      <c r="I254" s="10">
        <v>1111</v>
      </c>
      <c r="J254" s="99">
        <f t="shared" si="27"/>
        <v>99.91007194244604</v>
      </c>
    </row>
    <row r="255" spans="1:10" ht="16.5" customHeight="1">
      <c r="A255" s="23" t="s">
        <v>413</v>
      </c>
      <c r="B255" s="27">
        <v>807</v>
      </c>
      <c r="C255" s="26" t="s">
        <v>389</v>
      </c>
      <c r="D255" s="26" t="s">
        <v>381</v>
      </c>
      <c r="E255" s="19" t="s">
        <v>432</v>
      </c>
      <c r="F255" s="21"/>
      <c r="G255" s="10">
        <f>G256</f>
        <v>576</v>
      </c>
      <c r="H255" s="10">
        <f>H256</f>
        <v>576</v>
      </c>
      <c r="I255" s="10">
        <f>I256</f>
        <v>576</v>
      </c>
      <c r="J255" s="99">
        <f t="shared" si="27"/>
        <v>100</v>
      </c>
    </row>
    <row r="256" spans="1:10" ht="16.5" customHeight="1">
      <c r="A256" s="60" t="s">
        <v>419</v>
      </c>
      <c r="B256" s="27">
        <v>807</v>
      </c>
      <c r="C256" s="26" t="s">
        <v>389</v>
      </c>
      <c r="D256" s="26" t="s">
        <v>381</v>
      </c>
      <c r="E256" s="19" t="s">
        <v>432</v>
      </c>
      <c r="F256" s="21" t="s">
        <v>420</v>
      </c>
      <c r="G256" s="10">
        <f>1180-604</f>
        <v>576</v>
      </c>
      <c r="H256" s="10">
        <f>1180-604</f>
        <v>576</v>
      </c>
      <c r="I256" s="10">
        <f>1180-604</f>
        <v>576</v>
      </c>
      <c r="J256" s="99">
        <f t="shared" si="27"/>
        <v>100</v>
      </c>
    </row>
    <row r="257" spans="1:10" ht="16.5" customHeight="1">
      <c r="A257" s="23" t="s">
        <v>203</v>
      </c>
      <c r="B257" s="27">
        <v>807</v>
      </c>
      <c r="C257" s="20" t="s">
        <v>389</v>
      </c>
      <c r="D257" s="20" t="s">
        <v>381</v>
      </c>
      <c r="E257" s="19" t="s">
        <v>229</v>
      </c>
      <c r="F257" s="21"/>
      <c r="G257" s="10">
        <f>G258</f>
        <v>700</v>
      </c>
      <c r="H257" s="10">
        <f>H258</f>
        <v>700</v>
      </c>
      <c r="I257" s="10">
        <f>I258</f>
        <v>700</v>
      </c>
      <c r="J257" s="99">
        <f t="shared" si="27"/>
        <v>100</v>
      </c>
    </row>
    <row r="258" spans="1:10" ht="16.5" customHeight="1">
      <c r="A258" s="60" t="s">
        <v>419</v>
      </c>
      <c r="B258" s="27">
        <v>807</v>
      </c>
      <c r="C258" s="20" t="s">
        <v>389</v>
      </c>
      <c r="D258" s="20" t="s">
        <v>381</v>
      </c>
      <c r="E258" s="19" t="s">
        <v>229</v>
      </c>
      <c r="F258" s="21" t="s">
        <v>420</v>
      </c>
      <c r="G258" s="10">
        <f>2000-1300</f>
        <v>700</v>
      </c>
      <c r="H258" s="10">
        <f>2000-1300</f>
        <v>700</v>
      </c>
      <c r="I258" s="10">
        <f>2000-1300</f>
        <v>700</v>
      </c>
      <c r="J258" s="99">
        <f t="shared" si="27"/>
        <v>100</v>
      </c>
    </row>
    <row r="259" spans="1:10" ht="32.25" customHeight="1">
      <c r="A259" s="8" t="s">
        <v>201</v>
      </c>
      <c r="B259" s="27">
        <v>807</v>
      </c>
      <c r="C259" s="26" t="s">
        <v>389</v>
      </c>
      <c r="D259" s="26" t="s">
        <v>381</v>
      </c>
      <c r="E259" s="19" t="s">
        <v>431</v>
      </c>
      <c r="F259" s="21"/>
      <c r="G259" s="10">
        <f>G260</f>
        <v>5602</v>
      </c>
      <c r="H259" s="10">
        <f>H260</f>
        <v>5602</v>
      </c>
      <c r="I259" s="10">
        <f>I260</f>
        <v>5582</v>
      </c>
      <c r="J259" s="99">
        <f t="shared" si="27"/>
        <v>99.64298464833988</v>
      </c>
    </row>
    <row r="260" spans="1:10" ht="17.25" customHeight="1">
      <c r="A260" s="60" t="s">
        <v>419</v>
      </c>
      <c r="B260" s="27">
        <v>807</v>
      </c>
      <c r="C260" s="26" t="s">
        <v>389</v>
      </c>
      <c r="D260" s="26" t="s">
        <v>381</v>
      </c>
      <c r="E260" s="19" t="s">
        <v>431</v>
      </c>
      <c r="F260" s="21" t="s">
        <v>420</v>
      </c>
      <c r="G260" s="10">
        <f>11580-4866-1112</f>
        <v>5602</v>
      </c>
      <c r="H260" s="10">
        <f>11580-4866-1112</f>
        <v>5602</v>
      </c>
      <c r="I260" s="10">
        <v>5582</v>
      </c>
      <c r="J260" s="99">
        <f t="shared" si="27"/>
        <v>99.64298464833988</v>
      </c>
    </row>
    <row r="261" spans="1:10" ht="16.5" customHeight="1">
      <c r="A261" s="23" t="s">
        <v>199</v>
      </c>
      <c r="B261" s="27">
        <v>807</v>
      </c>
      <c r="C261" s="20" t="s">
        <v>389</v>
      </c>
      <c r="D261" s="26" t="s">
        <v>381</v>
      </c>
      <c r="E261" s="19" t="s">
        <v>417</v>
      </c>
      <c r="F261" s="21"/>
      <c r="G261" s="10">
        <f>G262+G264</f>
        <v>75</v>
      </c>
      <c r="H261" s="10">
        <f>H262+H264</f>
        <v>75</v>
      </c>
      <c r="I261" s="10">
        <f>I262+I264</f>
        <v>75</v>
      </c>
      <c r="J261" s="99">
        <f t="shared" si="27"/>
        <v>100</v>
      </c>
    </row>
    <row r="262" spans="1:10" ht="32.25" customHeight="1">
      <c r="A262" s="31" t="s">
        <v>567</v>
      </c>
      <c r="B262" s="27">
        <v>807</v>
      </c>
      <c r="C262" s="20" t="s">
        <v>389</v>
      </c>
      <c r="D262" s="26" t="s">
        <v>381</v>
      </c>
      <c r="E262" s="19" t="s">
        <v>215</v>
      </c>
      <c r="F262" s="21"/>
      <c r="G262" s="10">
        <f>G263</f>
        <v>75</v>
      </c>
      <c r="H262" s="10">
        <f>H263</f>
        <v>75</v>
      </c>
      <c r="I262" s="10">
        <f>I263</f>
        <v>75</v>
      </c>
      <c r="J262" s="99">
        <f t="shared" si="27"/>
        <v>100</v>
      </c>
    </row>
    <row r="263" spans="1:10" ht="16.5" customHeight="1">
      <c r="A263" s="60" t="s">
        <v>419</v>
      </c>
      <c r="B263" s="27">
        <v>807</v>
      </c>
      <c r="C263" s="20" t="s">
        <v>389</v>
      </c>
      <c r="D263" s="26" t="s">
        <v>381</v>
      </c>
      <c r="E263" s="19" t="s">
        <v>215</v>
      </c>
      <c r="F263" s="21" t="s">
        <v>420</v>
      </c>
      <c r="G263" s="10">
        <f>75-75+75</f>
        <v>75</v>
      </c>
      <c r="H263" s="10">
        <f>75-75+75</f>
        <v>75</v>
      </c>
      <c r="I263" s="10">
        <f>75-75+75</f>
        <v>75</v>
      </c>
      <c r="J263" s="99">
        <f t="shared" si="27"/>
        <v>100</v>
      </c>
    </row>
    <row r="264" spans="1:10" ht="48" customHeight="1" hidden="1">
      <c r="A264" s="64" t="s">
        <v>499</v>
      </c>
      <c r="B264" s="27">
        <v>807</v>
      </c>
      <c r="C264" s="26" t="s">
        <v>389</v>
      </c>
      <c r="D264" s="26" t="s">
        <v>381</v>
      </c>
      <c r="E264" s="27" t="s">
        <v>481</v>
      </c>
      <c r="F264" s="28"/>
      <c r="G264" s="10">
        <f>G265</f>
        <v>0</v>
      </c>
      <c r="H264" s="10">
        <f>H265</f>
        <v>0</v>
      </c>
      <c r="I264" s="10">
        <f>I265</f>
        <v>0</v>
      </c>
      <c r="J264" s="99" t="e">
        <f t="shared" si="27"/>
        <v>#DIV/0!</v>
      </c>
    </row>
    <row r="265" spans="1:10" ht="17.25" customHeight="1" hidden="1">
      <c r="A265" s="60" t="s">
        <v>419</v>
      </c>
      <c r="B265" s="27">
        <v>807</v>
      </c>
      <c r="C265" s="26" t="s">
        <v>389</v>
      </c>
      <c r="D265" s="26" t="s">
        <v>381</v>
      </c>
      <c r="E265" s="27" t="s">
        <v>481</v>
      </c>
      <c r="F265" s="28" t="s">
        <v>420</v>
      </c>
      <c r="G265" s="10">
        <f>980-980</f>
        <v>0</v>
      </c>
      <c r="H265" s="10">
        <f>980-980</f>
        <v>0</v>
      </c>
      <c r="I265" s="10">
        <f>980-980</f>
        <v>0</v>
      </c>
      <c r="J265" s="99" t="e">
        <f t="shared" si="27"/>
        <v>#DIV/0!</v>
      </c>
    </row>
    <row r="266" spans="1:10" ht="12" customHeight="1">
      <c r="A266" s="60"/>
      <c r="B266" s="19"/>
      <c r="C266" s="26"/>
      <c r="D266" s="26"/>
      <c r="E266" s="27"/>
      <c r="F266" s="28"/>
      <c r="G266" s="10"/>
      <c r="H266" s="10"/>
      <c r="I266" s="10"/>
      <c r="J266" s="99"/>
    </row>
    <row r="267" spans="1:10" ht="28.5" customHeight="1">
      <c r="A267" s="24" t="s">
        <v>578</v>
      </c>
      <c r="B267" s="15">
        <v>808</v>
      </c>
      <c r="C267" s="16"/>
      <c r="D267" s="16"/>
      <c r="E267" s="17"/>
      <c r="F267" s="18"/>
      <c r="G267" s="5">
        <f aca="true" t="shared" si="33" ref="G267:I268">G268</f>
        <v>2395</v>
      </c>
      <c r="H267" s="5">
        <f t="shared" si="33"/>
        <v>2584</v>
      </c>
      <c r="I267" s="5">
        <f t="shared" si="33"/>
        <v>2583</v>
      </c>
      <c r="J267" s="103">
        <f t="shared" si="27"/>
        <v>99.96130030959752</v>
      </c>
    </row>
    <row r="268" spans="1:10" ht="16.5" customHeight="1">
      <c r="A268" s="62" t="s">
        <v>206</v>
      </c>
      <c r="B268" s="15">
        <v>808</v>
      </c>
      <c r="C268" s="30" t="s">
        <v>389</v>
      </c>
      <c r="D268" s="30"/>
      <c r="E268" s="15"/>
      <c r="F268" s="33"/>
      <c r="G268" s="5">
        <f t="shared" si="33"/>
        <v>2395</v>
      </c>
      <c r="H268" s="5">
        <f t="shared" si="33"/>
        <v>2584</v>
      </c>
      <c r="I268" s="5">
        <f t="shared" si="33"/>
        <v>2583</v>
      </c>
      <c r="J268" s="103">
        <f t="shared" si="27"/>
        <v>99.96130030959752</v>
      </c>
    </row>
    <row r="269" spans="1:10" ht="16.5" customHeight="1">
      <c r="A269" s="23" t="s">
        <v>200</v>
      </c>
      <c r="B269" s="27">
        <v>808</v>
      </c>
      <c r="C269" s="26" t="s">
        <v>389</v>
      </c>
      <c r="D269" s="26" t="s">
        <v>381</v>
      </c>
      <c r="E269" s="27"/>
      <c r="F269" s="28"/>
      <c r="G269" s="10">
        <f>G274+G279+G270</f>
        <v>2395</v>
      </c>
      <c r="H269" s="10">
        <f>H274+H279+H270</f>
        <v>2584</v>
      </c>
      <c r="I269" s="10">
        <f>I274+I279+I270</f>
        <v>2583</v>
      </c>
      <c r="J269" s="99">
        <f aca="true" t="shared" si="34" ref="J269:J332">I269/H269*100</f>
        <v>99.96130030959752</v>
      </c>
    </row>
    <row r="270" spans="1:10" ht="16.5" customHeight="1">
      <c r="A270" s="60" t="s">
        <v>371</v>
      </c>
      <c r="B270" s="26" t="s">
        <v>289</v>
      </c>
      <c r="C270" s="26" t="s">
        <v>389</v>
      </c>
      <c r="D270" s="26" t="s">
        <v>381</v>
      </c>
      <c r="E270" s="19" t="s">
        <v>427</v>
      </c>
      <c r="F270" s="39"/>
      <c r="G270" s="10">
        <f aca="true" t="shared" si="35" ref="G270:I272">G271</f>
        <v>0</v>
      </c>
      <c r="H270" s="10">
        <f t="shared" si="35"/>
        <v>189</v>
      </c>
      <c r="I270" s="10">
        <f t="shared" si="35"/>
        <v>189</v>
      </c>
      <c r="J270" s="99">
        <f t="shared" si="34"/>
        <v>100</v>
      </c>
    </row>
    <row r="271" spans="1:10" ht="16.5" customHeight="1">
      <c r="A271" s="8" t="s">
        <v>426</v>
      </c>
      <c r="B271" s="26" t="s">
        <v>289</v>
      </c>
      <c r="C271" s="26" t="s">
        <v>389</v>
      </c>
      <c r="D271" s="26" t="s">
        <v>381</v>
      </c>
      <c r="E271" s="26" t="s">
        <v>428</v>
      </c>
      <c r="F271" s="21"/>
      <c r="G271" s="10">
        <f t="shared" si="35"/>
        <v>0</v>
      </c>
      <c r="H271" s="10">
        <f t="shared" si="35"/>
        <v>189</v>
      </c>
      <c r="I271" s="10">
        <f t="shared" si="35"/>
        <v>189</v>
      </c>
      <c r="J271" s="99">
        <f t="shared" si="34"/>
        <v>100</v>
      </c>
    </row>
    <row r="272" spans="1:10" ht="16.5" customHeight="1">
      <c r="A272" s="67" t="s">
        <v>469</v>
      </c>
      <c r="B272" s="26" t="s">
        <v>289</v>
      </c>
      <c r="C272" s="26" t="s">
        <v>389</v>
      </c>
      <c r="D272" s="26" t="s">
        <v>381</v>
      </c>
      <c r="E272" s="26" t="s">
        <v>311</v>
      </c>
      <c r="F272" s="21"/>
      <c r="G272" s="10">
        <f t="shared" si="35"/>
        <v>0</v>
      </c>
      <c r="H272" s="10">
        <f t="shared" si="35"/>
        <v>189</v>
      </c>
      <c r="I272" s="10">
        <f t="shared" si="35"/>
        <v>189</v>
      </c>
      <c r="J272" s="99">
        <f t="shared" si="34"/>
        <v>100</v>
      </c>
    </row>
    <row r="273" spans="1:10" ht="16.5" customHeight="1">
      <c r="A273" s="60" t="s">
        <v>419</v>
      </c>
      <c r="B273" s="26" t="s">
        <v>289</v>
      </c>
      <c r="C273" s="26" t="s">
        <v>389</v>
      </c>
      <c r="D273" s="26" t="s">
        <v>381</v>
      </c>
      <c r="E273" s="26" t="s">
        <v>311</v>
      </c>
      <c r="F273" s="21" t="s">
        <v>420</v>
      </c>
      <c r="G273" s="10">
        <v>0</v>
      </c>
      <c r="H273" s="10">
        <v>189</v>
      </c>
      <c r="I273" s="10">
        <v>189</v>
      </c>
      <c r="J273" s="99">
        <f t="shared" si="34"/>
        <v>100</v>
      </c>
    </row>
    <row r="274" spans="1:10" ht="16.5" customHeight="1">
      <c r="A274" s="23" t="s">
        <v>200</v>
      </c>
      <c r="B274" s="27">
        <v>808</v>
      </c>
      <c r="C274" s="26" t="s">
        <v>389</v>
      </c>
      <c r="D274" s="26" t="s">
        <v>381</v>
      </c>
      <c r="E274" s="27" t="s">
        <v>226</v>
      </c>
      <c r="F274" s="28"/>
      <c r="G274" s="10">
        <f>G275+G277</f>
        <v>2320</v>
      </c>
      <c r="H274" s="10">
        <f>H275+H277</f>
        <v>2320</v>
      </c>
      <c r="I274" s="10">
        <f>I275+I277</f>
        <v>2319</v>
      </c>
      <c r="J274" s="99">
        <f t="shared" si="34"/>
        <v>99.95689655172414</v>
      </c>
    </row>
    <row r="275" spans="1:10" ht="16.5" customHeight="1">
      <c r="A275" s="23" t="s">
        <v>413</v>
      </c>
      <c r="B275" s="27">
        <v>808</v>
      </c>
      <c r="C275" s="26" t="s">
        <v>389</v>
      </c>
      <c r="D275" s="26" t="s">
        <v>381</v>
      </c>
      <c r="E275" s="19" t="s">
        <v>432</v>
      </c>
      <c r="F275" s="21"/>
      <c r="G275" s="10">
        <f>G276</f>
        <v>320</v>
      </c>
      <c r="H275" s="10">
        <f>H276</f>
        <v>320</v>
      </c>
      <c r="I275" s="10">
        <f>I276</f>
        <v>320</v>
      </c>
      <c r="J275" s="99">
        <f t="shared" si="34"/>
        <v>100</v>
      </c>
    </row>
    <row r="276" spans="1:10" ht="16.5" customHeight="1">
      <c r="A276" s="60" t="s">
        <v>419</v>
      </c>
      <c r="B276" s="27">
        <v>808</v>
      </c>
      <c r="C276" s="26" t="s">
        <v>389</v>
      </c>
      <c r="D276" s="26" t="s">
        <v>381</v>
      </c>
      <c r="E276" s="19" t="s">
        <v>432</v>
      </c>
      <c r="F276" s="21" t="s">
        <v>420</v>
      </c>
      <c r="G276" s="10">
        <f>1430-1110</f>
        <v>320</v>
      </c>
      <c r="H276" s="10">
        <f>1430-1110</f>
        <v>320</v>
      </c>
      <c r="I276" s="10">
        <f>1430-1110</f>
        <v>320</v>
      </c>
      <c r="J276" s="99">
        <f t="shared" si="34"/>
        <v>100</v>
      </c>
    </row>
    <row r="277" spans="1:10" ht="32.25" customHeight="1">
      <c r="A277" s="8" t="s">
        <v>201</v>
      </c>
      <c r="B277" s="27">
        <v>808</v>
      </c>
      <c r="C277" s="26" t="s">
        <v>389</v>
      </c>
      <c r="D277" s="26" t="s">
        <v>381</v>
      </c>
      <c r="E277" s="19" t="s">
        <v>431</v>
      </c>
      <c r="F277" s="21"/>
      <c r="G277" s="10">
        <f>G278</f>
        <v>2000</v>
      </c>
      <c r="H277" s="10">
        <f>H278</f>
        <v>2000</v>
      </c>
      <c r="I277" s="10">
        <f>I278</f>
        <v>1999</v>
      </c>
      <c r="J277" s="99">
        <f t="shared" si="34"/>
        <v>99.95</v>
      </c>
    </row>
    <row r="278" spans="1:10" ht="16.5" customHeight="1">
      <c r="A278" s="60" t="s">
        <v>419</v>
      </c>
      <c r="B278" s="27">
        <v>808</v>
      </c>
      <c r="C278" s="26" t="s">
        <v>389</v>
      </c>
      <c r="D278" s="26" t="s">
        <v>381</v>
      </c>
      <c r="E278" s="19" t="s">
        <v>431</v>
      </c>
      <c r="F278" s="21" t="s">
        <v>420</v>
      </c>
      <c r="G278" s="10">
        <f>2870-870</f>
        <v>2000</v>
      </c>
      <c r="H278" s="10">
        <f>2870-870</f>
        <v>2000</v>
      </c>
      <c r="I278" s="10">
        <v>1999</v>
      </c>
      <c r="J278" s="99">
        <f t="shared" si="34"/>
        <v>99.95</v>
      </c>
    </row>
    <row r="279" spans="1:10" ht="16.5" customHeight="1">
      <c r="A279" s="23" t="s">
        <v>199</v>
      </c>
      <c r="B279" s="27">
        <v>808</v>
      </c>
      <c r="C279" s="20" t="s">
        <v>389</v>
      </c>
      <c r="D279" s="26" t="s">
        <v>381</v>
      </c>
      <c r="E279" s="19" t="s">
        <v>417</v>
      </c>
      <c r="F279" s="21"/>
      <c r="G279" s="10">
        <f>G280+G282</f>
        <v>75</v>
      </c>
      <c r="H279" s="10">
        <f>H280+H282</f>
        <v>75</v>
      </c>
      <c r="I279" s="10">
        <f>I280+I282</f>
        <v>75</v>
      </c>
      <c r="J279" s="99">
        <f t="shared" si="34"/>
        <v>100</v>
      </c>
    </row>
    <row r="280" spans="1:10" ht="32.25" customHeight="1">
      <c r="A280" s="31" t="s">
        <v>567</v>
      </c>
      <c r="B280" s="27">
        <v>808</v>
      </c>
      <c r="C280" s="20" t="s">
        <v>389</v>
      </c>
      <c r="D280" s="26" t="s">
        <v>381</v>
      </c>
      <c r="E280" s="19" t="s">
        <v>215</v>
      </c>
      <c r="F280" s="21"/>
      <c r="G280" s="10">
        <f>G281</f>
        <v>75</v>
      </c>
      <c r="H280" s="10">
        <f>H281</f>
        <v>75</v>
      </c>
      <c r="I280" s="10">
        <f>I281</f>
        <v>75</v>
      </c>
      <c r="J280" s="99">
        <f t="shared" si="34"/>
        <v>100</v>
      </c>
    </row>
    <row r="281" spans="1:10" ht="16.5" customHeight="1">
      <c r="A281" s="60" t="s">
        <v>419</v>
      </c>
      <c r="B281" s="27">
        <v>808</v>
      </c>
      <c r="C281" s="20" t="s">
        <v>389</v>
      </c>
      <c r="D281" s="26" t="s">
        <v>381</v>
      </c>
      <c r="E281" s="19" t="s">
        <v>215</v>
      </c>
      <c r="F281" s="21" t="s">
        <v>420</v>
      </c>
      <c r="G281" s="10">
        <f>75-75+75</f>
        <v>75</v>
      </c>
      <c r="H281" s="10">
        <f>75-75+75</f>
        <v>75</v>
      </c>
      <c r="I281" s="10">
        <f>75-75+75</f>
        <v>75</v>
      </c>
      <c r="J281" s="99">
        <f t="shared" si="34"/>
        <v>100</v>
      </c>
    </row>
    <row r="282" spans="1:10" ht="48" customHeight="1" hidden="1">
      <c r="A282" s="64" t="s">
        <v>499</v>
      </c>
      <c r="B282" s="27">
        <v>808</v>
      </c>
      <c r="C282" s="26" t="s">
        <v>389</v>
      </c>
      <c r="D282" s="26" t="s">
        <v>381</v>
      </c>
      <c r="E282" s="27" t="s">
        <v>481</v>
      </c>
      <c r="F282" s="28"/>
      <c r="G282" s="10">
        <f>G283</f>
        <v>0</v>
      </c>
      <c r="H282" s="10">
        <f>H283</f>
        <v>0</v>
      </c>
      <c r="I282" s="10">
        <f>I283</f>
        <v>0</v>
      </c>
      <c r="J282" s="99" t="e">
        <f t="shared" si="34"/>
        <v>#DIV/0!</v>
      </c>
    </row>
    <row r="283" spans="1:10" ht="17.25" customHeight="1" hidden="1">
      <c r="A283" s="60" t="s">
        <v>419</v>
      </c>
      <c r="B283" s="27">
        <v>808</v>
      </c>
      <c r="C283" s="26" t="s">
        <v>389</v>
      </c>
      <c r="D283" s="26" t="s">
        <v>381</v>
      </c>
      <c r="E283" s="27" t="s">
        <v>481</v>
      </c>
      <c r="F283" s="28" t="s">
        <v>420</v>
      </c>
      <c r="G283" s="10">
        <f>70-70</f>
        <v>0</v>
      </c>
      <c r="H283" s="10">
        <f>70-70</f>
        <v>0</v>
      </c>
      <c r="I283" s="10">
        <f>70-70</f>
        <v>0</v>
      </c>
      <c r="J283" s="99" t="e">
        <f t="shared" si="34"/>
        <v>#DIV/0!</v>
      </c>
    </row>
    <row r="284" spans="1:10" ht="12" customHeight="1">
      <c r="A284" s="60"/>
      <c r="B284" s="27"/>
      <c r="C284" s="26"/>
      <c r="D284" s="26"/>
      <c r="E284" s="27"/>
      <c r="F284" s="28"/>
      <c r="G284" s="10"/>
      <c r="H284" s="10"/>
      <c r="I284" s="10"/>
      <c r="J284" s="99"/>
    </row>
    <row r="285" spans="1:10" ht="28.5" customHeight="1">
      <c r="A285" s="24" t="s">
        <v>527</v>
      </c>
      <c r="B285" s="30" t="s">
        <v>44</v>
      </c>
      <c r="C285" s="16"/>
      <c r="D285" s="16"/>
      <c r="E285" s="17"/>
      <c r="F285" s="18"/>
      <c r="G285" s="5">
        <f>G286+G313</f>
        <v>206053</v>
      </c>
      <c r="H285" s="5">
        <f>H286+H313</f>
        <v>162350</v>
      </c>
      <c r="I285" s="5">
        <f>I286+I313</f>
        <v>132280</v>
      </c>
      <c r="J285" s="103">
        <f t="shared" si="34"/>
        <v>81.4782876501386</v>
      </c>
    </row>
    <row r="286" spans="1:10" ht="16.5" customHeight="1">
      <c r="A286" s="62" t="s">
        <v>425</v>
      </c>
      <c r="B286" s="30" t="s">
        <v>44</v>
      </c>
      <c r="C286" s="16" t="s">
        <v>379</v>
      </c>
      <c r="D286" s="16"/>
      <c r="E286" s="17"/>
      <c r="F286" s="18"/>
      <c r="G286" s="5">
        <f>G287+G292+G297+G303</f>
        <v>205953</v>
      </c>
      <c r="H286" s="5">
        <f>H287+H292+H297+H303</f>
        <v>162350</v>
      </c>
      <c r="I286" s="5">
        <f>I287+I292+I297+I303</f>
        <v>132280</v>
      </c>
      <c r="J286" s="103">
        <f t="shared" si="34"/>
        <v>81.4782876501386</v>
      </c>
    </row>
    <row r="287" spans="1:10" ht="32.25" customHeight="1">
      <c r="A287" s="31" t="s">
        <v>455</v>
      </c>
      <c r="B287" s="26" t="s">
        <v>44</v>
      </c>
      <c r="C287" s="20" t="s">
        <v>379</v>
      </c>
      <c r="D287" s="20" t="s">
        <v>383</v>
      </c>
      <c r="E287" s="19"/>
      <c r="F287" s="21"/>
      <c r="G287" s="10">
        <f aca="true" t="shared" si="36" ref="G287:I289">G288</f>
        <v>25038</v>
      </c>
      <c r="H287" s="10">
        <f t="shared" si="36"/>
        <v>25038</v>
      </c>
      <c r="I287" s="10">
        <f t="shared" si="36"/>
        <v>24826</v>
      </c>
      <c r="J287" s="99">
        <f t="shared" si="34"/>
        <v>99.1532870037543</v>
      </c>
    </row>
    <row r="288" spans="1:10" ht="48.75" customHeight="1">
      <c r="A288" s="23" t="s">
        <v>307</v>
      </c>
      <c r="B288" s="26" t="s">
        <v>44</v>
      </c>
      <c r="C288" s="26" t="s">
        <v>379</v>
      </c>
      <c r="D288" s="26" t="s">
        <v>383</v>
      </c>
      <c r="E288" s="26" t="s">
        <v>233</v>
      </c>
      <c r="F288" s="28"/>
      <c r="G288" s="10">
        <f t="shared" si="36"/>
        <v>25038</v>
      </c>
      <c r="H288" s="10">
        <f t="shared" si="36"/>
        <v>25038</v>
      </c>
      <c r="I288" s="10">
        <f t="shared" si="36"/>
        <v>24826</v>
      </c>
      <c r="J288" s="99">
        <f t="shared" si="34"/>
        <v>99.1532870037543</v>
      </c>
    </row>
    <row r="289" spans="1:10" ht="16.5" customHeight="1">
      <c r="A289" s="8" t="s">
        <v>364</v>
      </c>
      <c r="B289" s="26" t="s">
        <v>44</v>
      </c>
      <c r="C289" s="26" t="s">
        <v>379</v>
      </c>
      <c r="D289" s="26" t="s">
        <v>383</v>
      </c>
      <c r="E289" s="26" t="s">
        <v>441</v>
      </c>
      <c r="F289" s="28"/>
      <c r="G289" s="10">
        <f t="shared" si="36"/>
        <v>25038</v>
      </c>
      <c r="H289" s="10">
        <f t="shared" si="36"/>
        <v>25038</v>
      </c>
      <c r="I289" s="10">
        <f t="shared" si="36"/>
        <v>24826</v>
      </c>
      <c r="J289" s="99">
        <f t="shared" si="34"/>
        <v>99.1532870037543</v>
      </c>
    </row>
    <row r="290" spans="1:10" ht="16.5" customHeight="1">
      <c r="A290" s="67" t="s">
        <v>419</v>
      </c>
      <c r="B290" s="26" t="s">
        <v>44</v>
      </c>
      <c r="C290" s="26" t="s">
        <v>379</v>
      </c>
      <c r="D290" s="26" t="s">
        <v>383</v>
      </c>
      <c r="E290" s="26" t="s">
        <v>441</v>
      </c>
      <c r="F290" s="28" t="s">
        <v>420</v>
      </c>
      <c r="G290" s="10">
        <f>29147-436-1500-2173</f>
        <v>25038</v>
      </c>
      <c r="H290" s="10">
        <f>29147-436-1500-2173</f>
        <v>25038</v>
      </c>
      <c r="I290" s="10">
        <v>24826</v>
      </c>
      <c r="J290" s="99">
        <f t="shared" si="34"/>
        <v>99.1532870037543</v>
      </c>
    </row>
    <row r="291" spans="1:10" ht="12" customHeight="1">
      <c r="A291" s="25"/>
      <c r="B291" s="26"/>
      <c r="C291" s="26"/>
      <c r="D291" s="26"/>
      <c r="E291" s="27"/>
      <c r="F291" s="28"/>
      <c r="G291" s="10"/>
      <c r="H291" s="10"/>
      <c r="I291" s="10"/>
      <c r="J291" s="99"/>
    </row>
    <row r="292" spans="1:10" ht="16.5" customHeight="1">
      <c r="A292" s="31" t="s">
        <v>308</v>
      </c>
      <c r="B292" s="26" t="s">
        <v>44</v>
      </c>
      <c r="C292" s="20" t="s">
        <v>379</v>
      </c>
      <c r="D292" s="20" t="s">
        <v>396</v>
      </c>
      <c r="E292" s="19"/>
      <c r="F292" s="21"/>
      <c r="G292" s="10">
        <f aca="true" t="shared" si="37" ref="G292:I294">G293</f>
        <v>13800</v>
      </c>
      <c r="H292" s="10">
        <f t="shared" si="37"/>
        <v>13800</v>
      </c>
      <c r="I292" s="10">
        <f t="shared" si="37"/>
        <v>1911</v>
      </c>
      <c r="J292" s="99">
        <f t="shared" si="34"/>
        <v>13.847826086956522</v>
      </c>
    </row>
    <row r="293" spans="1:10" ht="16.5" customHeight="1">
      <c r="A293" s="31" t="s">
        <v>394</v>
      </c>
      <c r="B293" s="26" t="s">
        <v>44</v>
      </c>
      <c r="C293" s="26" t="s">
        <v>379</v>
      </c>
      <c r="D293" s="26" t="s">
        <v>396</v>
      </c>
      <c r="E293" s="26" t="s">
        <v>309</v>
      </c>
      <c r="F293" s="28"/>
      <c r="G293" s="10">
        <f t="shared" si="37"/>
        <v>13800</v>
      </c>
      <c r="H293" s="10">
        <f t="shared" si="37"/>
        <v>13800</v>
      </c>
      <c r="I293" s="10">
        <f t="shared" si="37"/>
        <v>1911</v>
      </c>
      <c r="J293" s="99">
        <f t="shared" si="34"/>
        <v>13.847826086956522</v>
      </c>
    </row>
    <row r="294" spans="1:10" ht="16.5" customHeight="1">
      <c r="A294" s="8" t="s">
        <v>370</v>
      </c>
      <c r="B294" s="26" t="s">
        <v>44</v>
      </c>
      <c r="C294" s="26" t="s">
        <v>379</v>
      </c>
      <c r="D294" s="26" t="s">
        <v>396</v>
      </c>
      <c r="E294" s="26" t="s">
        <v>310</v>
      </c>
      <c r="F294" s="28"/>
      <c r="G294" s="10">
        <f t="shared" si="37"/>
        <v>13800</v>
      </c>
      <c r="H294" s="10">
        <f t="shared" si="37"/>
        <v>13800</v>
      </c>
      <c r="I294" s="10">
        <f t="shared" si="37"/>
        <v>1911</v>
      </c>
      <c r="J294" s="99">
        <f t="shared" si="34"/>
        <v>13.847826086956522</v>
      </c>
    </row>
    <row r="295" spans="1:10" ht="16.5" customHeight="1">
      <c r="A295" s="8" t="s">
        <v>429</v>
      </c>
      <c r="B295" s="26" t="s">
        <v>44</v>
      </c>
      <c r="C295" s="26" t="s">
        <v>379</v>
      </c>
      <c r="D295" s="26" t="s">
        <v>396</v>
      </c>
      <c r="E295" s="26" t="s">
        <v>310</v>
      </c>
      <c r="F295" s="28" t="s">
        <v>430</v>
      </c>
      <c r="G295" s="10">
        <f>30000-10000-2200-4000</f>
        <v>13800</v>
      </c>
      <c r="H295" s="10">
        <f>30000-10000-2200-4000</f>
        <v>13800</v>
      </c>
      <c r="I295" s="10">
        <v>1911</v>
      </c>
      <c r="J295" s="99">
        <f t="shared" si="34"/>
        <v>13.847826086956522</v>
      </c>
    </row>
    <row r="296" spans="1:10" ht="12" customHeight="1">
      <c r="A296" s="29"/>
      <c r="B296" s="26"/>
      <c r="C296" s="26"/>
      <c r="D296" s="26"/>
      <c r="E296" s="26"/>
      <c r="F296" s="28"/>
      <c r="G296" s="10"/>
      <c r="H296" s="10"/>
      <c r="I296" s="10"/>
      <c r="J296" s="99"/>
    </row>
    <row r="297" spans="1:10" ht="16.5" customHeight="1">
      <c r="A297" s="31" t="s">
        <v>371</v>
      </c>
      <c r="B297" s="26" t="s">
        <v>44</v>
      </c>
      <c r="C297" s="20" t="s">
        <v>379</v>
      </c>
      <c r="D297" s="20" t="s">
        <v>385</v>
      </c>
      <c r="E297" s="20"/>
      <c r="F297" s="21"/>
      <c r="G297" s="10">
        <f aca="true" t="shared" si="38" ref="G297:I300">G298</f>
        <v>45920</v>
      </c>
      <c r="H297" s="10">
        <f t="shared" si="38"/>
        <v>2317</v>
      </c>
      <c r="I297" s="10">
        <f t="shared" si="38"/>
        <v>0</v>
      </c>
      <c r="J297" s="99">
        <f t="shared" si="34"/>
        <v>0</v>
      </c>
    </row>
    <row r="298" spans="1:10" ht="16.5" customHeight="1">
      <c r="A298" s="31" t="s">
        <v>371</v>
      </c>
      <c r="B298" s="26" t="s">
        <v>44</v>
      </c>
      <c r="C298" s="26" t="s">
        <v>379</v>
      </c>
      <c r="D298" s="26" t="s">
        <v>385</v>
      </c>
      <c r="E298" s="26" t="s">
        <v>427</v>
      </c>
      <c r="F298" s="28"/>
      <c r="G298" s="10">
        <f t="shared" si="38"/>
        <v>45920</v>
      </c>
      <c r="H298" s="10">
        <f t="shared" si="38"/>
        <v>2317</v>
      </c>
      <c r="I298" s="10">
        <f t="shared" si="38"/>
        <v>0</v>
      </c>
      <c r="J298" s="99">
        <f t="shared" si="34"/>
        <v>0</v>
      </c>
    </row>
    <row r="299" spans="1:10" ht="16.5" customHeight="1">
      <c r="A299" s="8" t="s">
        <v>426</v>
      </c>
      <c r="B299" s="26" t="s">
        <v>44</v>
      </c>
      <c r="C299" s="26" t="s">
        <v>379</v>
      </c>
      <c r="D299" s="26" t="s">
        <v>385</v>
      </c>
      <c r="E299" s="26" t="s">
        <v>428</v>
      </c>
      <c r="F299" s="28"/>
      <c r="G299" s="10">
        <f t="shared" si="38"/>
        <v>45920</v>
      </c>
      <c r="H299" s="10">
        <f t="shared" si="38"/>
        <v>2317</v>
      </c>
      <c r="I299" s="10">
        <f t="shared" si="38"/>
        <v>0</v>
      </c>
      <c r="J299" s="99">
        <f t="shared" si="34"/>
        <v>0</v>
      </c>
    </row>
    <row r="300" spans="1:10" ht="16.5" customHeight="1">
      <c r="A300" s="67" t="s">
        <v>469</v>
      </c>
      <c r="B300" s="26" t="s">
        <v>44</v>
      </c>
      <c r="C300" s="26" t="s">
        <v>379</v>
      </c>
      <c r="D300" s="26" t="s">
        <v>385</v>
      </c>
      <c r="E300" s="26" t="s">
        <v>311</v>
      </c>
      <c r="F300" s="28"/>
      <c r="G300" s="10">
        <f t="shared" si="38"/>
        <v>45920</v>
      </c>
      <c r="H300" s="10">
        <f t="shared" si="38"/>
        <v>2317</v>
      </c>
      <c r="I300" s="10">
        <f t="shared" si="38"/>
        <v>0</v>
      </c>
      <c r="J300" s="99">
        <f t="shared" si="34"/>
        <v>0</v>
      </c>
    </row>
    <row r="301" spans="1:10" ht="16.5" customHeight="1">
      <c r="A301" s="67" t="s">
        <v>429</v>
      </c>
      <c r="B301" s="26" t="s">
        <v>44</v>
      </c>
      <c r="C301" s="26" t="s">
        <v>379</v>
      </c>
      <c r="D301" s="26" t="s">
        <v>385</v>
      </c>
      <c r="E301" s="26" t="s">
        <v>312</v>
      </c>
      <c r="F301" s="28" t="s">
        <v>430</v>
      </c>
      <c r="G301" s="10">
        <f>71000-24800-280</f>
        <v>45920</v>
      </c>
      <c r="H301" s="10">
        <v>2317</v>
      </c>
      <c r="I301" s="10">
        <v>0</v>
      </c>
      <c r="J301" s="99">
        <f t="shared" si="34"/>
        <v>0</v>
      </c>
    </row>
    <row r="302" spans="1:10" ht="12" customHeight="1">
      <c r="A302" s="36"/>
      <c r="B302" s="32"/>
      <c r="C302" s="32"/>
      <c r="D302" s="32"/>
      <c r="E302" s="32"/>
      <c r="F302" s="35"/>
      <c r="G302" s="10"/>
      <c r="H302" s="10"/>
      <c r="I302" s="10"/>
      <c r="J302" s="99"/>
    </row>
    <row r="303" spans="1:10" ht="16.5" customHeight="1">
      <c r="A303" s="31" t="s">
        <v>313</v>
      </c>
      <c r="B303" s="26" t="s">
        <v>44</v>
      </c>
      <c r="C303" s="26" t="s">
        <v>379</v>
      </c>
      <c r="D303" s="26" t="s">
        <v>314</v>
      </c>
      <c r="E303" s="26"/>
      <c r="F303" s="28"/>
      <c r="G303" s="10">
        <f>G304</f>
        <v>121195</v>
      </c>
      <c r="H303" s="10">
        <f>H304</f>
        <v>121195</v>
      </c>
      <c r="I303" s="10">
        <f>I304</f>
        <v>105543</v>
      </c>
      <c r="J303" s="99">
        <f t="shared" si="34"/>
        <v>87.08527579520607</v>
      </c>
    </row>
    <row r="304" spans="1:10" ht="32.25" customHeight="1">
      <c r="A304" s="31" t="s">
        <v>409</v>
      </c>
      <c r="B304" s="26" t="s">
        <v>44</v>
      </c>
      <c r="C304" s="26" t="s">
        <v>379</v>
      </c>
      <c r="D304" s="26" t="s">
        <v>314</v>
      </c>
      <c r="E304" s="26" t="s">
        <v>316</v>
      </c>
      <c r="F304" s="28"/>
      <c r="G304" s="10">
        <f>G305+G310</f>
        <v>121195</v>
      </c>
      <c r="H304" s="10">
        <f>H305+H310</f>
        <v>121195</v>
      </c>
      <c r="I304" s="10">
        <f>I305+I310</f>
        <v>105543</v>
      </c>
      <c r="J304" s="99">
        <f t="shared" si="34"/>
        <v>87.08527579520607</v>
      </c>
    </row>
    <row r="305" spans="1:10" ht="16.5" customHeight="1">
      <c r="A305" s="31" t="s">
        <v>410</v>
      </c>
      <c r="B305" s="26" t="s">
        <v>44</v>
      </c>
      <c r="C305" s="26" t="s">
        <v>379</v>
      </c>
      <c r="D305" s="26" t="s">
        <v>314</v>
      </c>
      <c r="E305" s="26" t="s">
        <v>317</v>
      </c>
      <c r="F305" s="28"/>
      <c r="G305" s="10">
        <f>G306+G308</f>
        <v>119195</v>
      </c>
      <c r="H305" s="10">
        <f>H306+H308</f>
        <v>119195</v>
      </c>
      <c r="I305" s="10">
        <f>I306+I308</f>
        <v>105543</v>
      </c>
      <c r="J305" s="99">
        <f t="shared" si="34"/>
        <v>88.54649943370107</v>
      </c>
    </row>
    <row r="306" spans="1:10" ht="16.5" customHeight="1">
      <c r="A306" s="66" t="s">
        <v>49</v>
      </c>
      <c r="B306" s="26" t="s">
        <v>44</v>
      </c>
      <c r="C306" s="26" t="s">
        <v>379</v>
      </c>
      <c r="D306" s="26" t="s">
        <v>314</v>
      </c>
      <c r="E306" s="26" t="s">
        <v>50</v>
      </c>
      <c r="F306" s="28"/>
      <c r="G306" s="10">
        <f>G307</f>
        <v>114775</v>
      </c>
      <c r="H306" s="10">
        <f>H307</f>
        <v>114775</v>
      </c>
      <c r="I306" s="10">
        <f>I307</f>
        <v>103762</v>
      </c>
      <c r="J306" s="99">
        <f t="shared" si="34"/>
        <v>90.40470485732955</v>
      </c>
    </row>
    <row r="307" spans="1:10" ht="16.5" customHeight="1">
      <c r="A307" s="66" t="s">
        <v>429</v>
      </c>
      <c r="B307" s="26" t="s">
        <v>44</v>
      </c>
      <c r="C307" s="26" t="s">
        <v>379</v>
      </c>
      <c r="D307" s="26" t="s">
        <v>314</v>
      </c>
      <c r="E307" s="26" t="s">
        <v>50</v>
      </c>
      <c r="F307" s="28" t="s">
        <v>430</v>
      </c>
      <c r="G307" s="10">
        <v>114775</v>
      </c>
      <c r="H307" s="10">
        <v>114775</v>
      </c>
      <c r="I307" s="10">
        <v>103762</v>
      </c>
      <c r="J307" s="99">
        <f t="shared" si="34"/>
        <v>90.40470485732955</v>
      </c>
    </row>
    <row r="308" spans="1:10" ht="16.5" customHeight="1">
      <c r="A308" s="66" t="s">
        <v>318</v>
      </c>
      <c r="B308" s="26" t="s">
        <v>44</v>
      </c>
      <c r="C308" s="54" t="s">
        <v>379</v>
      </c>
      <c r="D308" s="54" t="s">
        <v>314</v>
      </c>
      <c r="E308" s="54" t="s">
        <v>319</v>
      </c>
      <c r="F308" s="56"/>
      <c r="G308" s="10">
        <f>G309</f>
        <v>4420</v>
      </c>
      <c r="H308" s="10">
        <f>H309</f>
        <v>4420</v>
      </c>
      <c r="I308" s="10">
        <f>I309</f>
        <v>1781</v>
      </c>
      <c r="J308" s="99">
        <f t="shared" si="34"/>
        <v>40.294117647058826</v>
      </c>
    </row>
    <row r="309" spans="1:10" ht="16.5" customHeight="1">
      <c r="A309" s="66" t="s">
        <v>429</v>
      </c>
      <c r="B309" s="26" t="s">
        <v>44</v>
      </c>
      <c r="C309" s="54" t="s">
        <v>379</v>
      </c>
      <c r="D309" s="54" t="s">
        <v>314</v>
      </c>
      <c r="E309" s="54" t="s">
        <v>319</v>
      </c>
      <c r="F309" s="56" t="s">
        <v>430</v>
      </c>
      <c r="G309" s="10">
        <f>5420-1000</f>
        <v>4420</v>
      </c>
      <c r="H309" s="10">
        <f>5420-1000</f>
        <v>4420</v>
      </c>
      <c r="I309" s="10">
        <v>1781</v>
      </c>
      <c r="J309" s="99">
        <f t="shared" si="34"/>
        <v>40.294117647058826</v>
      </c>
    </row>
    <row r="310" spans="1:10" ht="32.25" customHeight="1">
      <c r="A310" s="66" t="s">
        <v>323</v>
      </c>
      <c r="B310" s="26" t="s">
        <v>44</v>
      </c>
      <c r="C310" s="54" t="s">
        <v>379</v>
      </c>
      <c r="D310" s="54" t="s">
        <v>314</v>
      </c>
      <c r="E310" s="54" t="s">
        <v>324</v>
      </c>
      <c r="F310" s="56"/>
      <c r="G310" s="10">
        <f>G311</f>
        <v>2000</v>
      </c>
      <c r="H310" s="10">
        <f>H311</f>
        <v>2000</v>
      </c>
      <c r="I310" s="10">
        <f>I311</f>
        <v>0</v>
      </c>
      <c r="J310" s="99">
        <f t="shared" si="34"/>
        <v>0</v>
      </c>
    </row>
    <row r="311" spans="1:10" ht="16.5" customHeight="1">
      <c r="A311" s="66" t="s">
        <v>422</v>
      </c>
      <c r="B311" s="26" t="s">
        <v>44</v>
      </c>
      <c r="C311" s="54" t="s">
        <v>379</v>
      </c>
      <c r="D311" s="54" t="s">
        <v>314</v>
      </c>
      <c r="E311" s="54" t="s">
        <v>324</v>
      </c>
      <c r="F311" s="56" t="s">
        <v>423</v>
      </c>
      <c r="G311" s="10">
        <v>2000</v>
      </c>
      <c r="H311" s="10">
        <v>2000</v>
      </c>
      <c r="I311" s="10">
        <v>0</v>
      </c>
      <c r="J311" s="99">
        <f t="shared" si="34"/>
        <v>0</v>
      </c>
    </row>
    <row r="312" spans="1:10" ht="12" customHeight="1">
      <c r="A312" s="64"/>
      <c r="B312" s="26"/>
      <c r="C312" s="26"/>
      <c r="D312" s="26"/>
      <c r="E312" s="27"/>
      <c r="F312" s="28"/>
      <c r="G312" s="10"/>
      <c r="H312" s="10"/>
      <c r="I312" s="10"/>
      <c r="J312" s="99"/>
    </row>
    <row r="313" spans="1:10" ht="16.5" customHeight="1">
      <c r="A313" s="62" t="s">
        <v>255</v>
      </c>
      <c r="B313" s="30" t="s">
        <v>44</v>
      </c>
      <c r="C313" s="30" t="s">
        <v>387</v>
      </c>
      <c r="D313" s="30"/>
      <c r="E313" s="15"/>
      <c r="F313" s="33"/>
      <c r="G313" s="5">
        <f aca="true" t="shared" si="39" ref="G313:I316">G314</f>
        <v>100</v>
      </c>
      <c r="H313" s="5">
        <f t="shared" si="39"/>
        <v>0</v>
      </c>
      <c r="I313" s="5">
        <f t="shared" si="39"/>
        <v>0</v>
      </c>
      <c r="J313" s="103">
        <v>0</v>
      </c>
    </row>
    <row r="314" spans="1:10" ht="16.5" customHeight="1">
      <c r="A314" s="31" t="s">
        <v>264</v>
      </c>
      <c r="B314" s="26" t="s">
        <v>44</v>
      </c>
      <c r="C314" s="26" t="s">
        <v>387</v>
      </c>
      <c r="D314" s="26" t="s">
        <v>383</v>
      </c>
      <c r="E314" s="27"/>
      <c r="F314" s="28"/>
      <c r="G314" s="6">
        <f t="shared" si="39"/>
        <v>100</v>
      </c>
      <c r="H314" s="6">
        <f t="shared" si="39"/>
        <v>0</v>
      </c>
      <c r="I314" s="6">
        <f t="shared" si="39"/>
        <v>0</v>
      </c>
      <c r="J314" s="99">
        <v>0</v>
      </c>
    </row>
    <row r="315" spans="1:10" ht="16.5" customHeight="1">
      <c r="A315" s="23" t="s">
        <v>199</v>
      </c>
      <c r="B315" s="26" t="s">
        <v>44</v>
      </c>
      <c r="C315" s="26" t="s">
        <v>387</v>
      </c>
      <c r="D315" s="26" t="s">
        <v>383</v>
      </c>
      <c r="E315" s="27" t="s">
        <v>417</v>
      </c>
      <c r="F315" s="28"/>
      <c r="G315" s="6">
        <f t="shared" si="39"/>
        <v>100</v>
      </c>
      <c r="H315" s="6">
        <f t="shared" si="39"/>
        <v>0</v>
      </c>
      <c r="I315" s="6">
        <f t="shared" si="39"/>
        <v>0</v>
      </c>
      <c r="J315" s="99">
        <v>0</v>
      </c>
    </row>
    <row r="316" spans="1:10" ht="32.25" customHeight="1">
      <c r="A316" s="23" t="s">
        <v>528</v>
      </c>
      <c r="B316" s="26" t="s">
        <v>44</v>
      </c>
      <c r="C316" s="26" t="s">
        <v>387</v>
      </c>
      <c r="D316" s="26" t="s">
        <v>383</v>
      </c>
      <c r="E316" s="27" t="s">
        <v>325</v>
      </c>
      <c r="F316" s="28"/>
      <c r="G316" s="6">
        <f t="shared" si="39"/>
        <v>100</v>
      </c>
      <c r="H316" s="6">
        <f t="shared" si="39"/>
        <v>0</v>
      </c>
      <c r="I316" s="6">
        <f t="shared" si="39"/>
        <v>0</v>
      </c>
      <c r="J316" s="99">
        <v>0</v>
      </c>
    </row>
    <row r="317" spans="1:10" ht="16.5" customHeight="1">
      <c r="A317" s="66" t="s">
        <v>372</v>
      </c>
      <c r="B317" s="26" t="s">
        <v>44</v>
      </c>
      <c r="C317" s="54" t="s">
        <v>387</v>
      </c>
      <c r="D317" s="54" t="s">
        <v>383</v>
      </c>
      <c r="E317" s="54" t="s">
        <v>325</v>
      </c>
      <c r="F317" s="56" t="s">
        <v>520</v>
      </c>
      <c r="G317" s="6">
        <f>2000-2000+100</f>
        <v>100</v>
      </c>
      <c r="H317" s="6">
        <v>0</v>
      </c>
      <c r="I317" s="6">
        <v>0</v>
      </c>
      <c r="J317" s="99">
        <v>0</v>
      </c>
    </row>
    <row r="318" spans="1:10" ht="12" customHeight="1">
      <c r="A318" s="66"/>
      <c r="B318" s="54"/>
      <c r="C318" s="54"/>
      <c r="D318" s="54"/>
      <c r="E318" s="54"/>
      <c r="F318" s="56"/>
      <c r="G318" s="6"/>
      <c r="H318" s="6"/>
      <c r="I318" s="6"/>
      <c r="J318" s="99"/>
    </row>
    <row r="319" spans="1:10" ht="16.5" customHeight="1">
      <c r="A319" s="24" t="s">
        <v>486</v>
      </c>
      <c r="B319" s="15">
        <v>810</v>
      </c>
      <c r="C319" s="16"/>
      <c r="D319" s="16"/>
      <c r="E319" s="17"/>
      <c r="F319" s="18"/>
      <c r="G319" s="5">
        <f>G320+G331+G365+G442+G452</f>
        <v>877604</v>
      </c>
      <c r="H319" s="5">
        <f>H320+H331+H365+H442+H452</f>
        <v>881479</v>
      </c>
      <c r="I319" s="5">
        <f>I320+I331+I365+I442+I452</f>
        <v>811863</v>
      </c>
      <c r="J319" s="103">
        <f t="shared" si="34"/>
        <v>92.10236432178192</v>
      </c>
    </row>
    <row r="320" spans="1:10" ht="16.5" customHeight="1">
      <c r="A320" s="62" t="s">
        <v>425</v>
      </c>
      <c r="B320" s="15">
        <v>810</v>
      </c>
      <c r="C320" s="16" t="s">
        <v>379</v>
      </c>
      <c r="D320" s="16"/>
      <c r="E320" s="17"/>
      <c r="F320" s="18"/>
      <c r="G320" s="5">
        <f>G321</f>
        <v>1590</v>
      </c>
      <c r="H320" s="5">
        <f>H321</f>
        <v>2090</v>
      </c>
      <c r="I320" s="5">
        <f>I321</f>
        <v>2090</v>
      </c>
      <c r="J320" s="103">
        <f t="shared" si="34"/>
        <v>100</v>
      </c>
    </row>
    <row r="321" spans="1:10" ht="16.5" customHeight="1">
      <c r="A321" s="31" t="s">
        <v>313</v>
      </c>
      <c r="B321" s="19">
        <v>810</v>
      </c>
      <c r="C321" s="20" t="s">
        <v>379</v>
      </c>
      <c r="D321" s="20" t="s">
        <v>314</v>
      </c>
      <c r="E321" s="19"/>
      <c r="F321" s="21"/>
      <c r="G321" s="6">
        <f>G326+G322</f>
        <v>1590</v>
      </c>
      <c r="H321" s="6">
        <f>H326+H322</f>
        <v>2090</v>
      </c>
      <c r="I321" s="6">
        <f>I326+I322</f>
        <v>2090</v>
      </c>
      <c r="J321" s="99">
        <f t="shared" si="34"/>
        <v>100</v>
      </c>
    </row>
    <row r="322" spans="1:10" ht="16.5" customHeight="1">
      <c r="A322" s="31" t="s">
        <v>371</v>
      </c>
      <c r="B322" s="26" t="s">
        <v>150</v>
      </c>
      <c r="C322" s="26" t="s">
        <v>379</v>
      </c>
      <c r="D322" s="26" t="s">
        <v>314</v>
      </c>
      <c r="E322" s="26" t="s">
        <v>427</v>
      </c>
      <c r="F322" s="28"/>
      <c r="G322" s="6">
        <f aca="true" t="shared" si="40" ref="G322:I324">G323</f>
        <v>0</v>
      </c>
      <c r="H322" s="6">
        <f t="shared" si="40"/>
        <v>500</v>
      </c>
      <c r="I322" s="6">
        <f t="shared" si="40"/>
        <v>500</v>
      </c>
      <c r="J322" s="99">
        <f t="shared" si="34"/>
        <v>100</v>
      </c>
    </row>
    <row r="323" spans="1:10" ht="16.5" customHeight="1">
      <c r="A323" s="8" t="s">
        <v>426</v>
      </c>
      <c r="B323" s="26" t="s">
        <v>150</v>
      </c>
      <c r="C323" s="26" t="s">
        <v>379</v>
      </c>
      <c r="D323" s="26" t="s">
        <v>314</v>
      </c>
      <c r="E323" s="26" t="s">
        <v>428</v>
      </c>
      <c r="F323" s="28"/>
      <c r="G323" s="6">
        <f t="shared" si="40"/>
        <v>0</v>
      </c>
      <c r="H323" s="6">
        <f t="shared" si="40"/>
        <v>500</v>
      </c>
      <c r="I323" s="6">
        <f t="shared" si="40"/>
        <v>500</v>
      </c>
      <c r="J323" s="99">
        <f t="shared" si="34"/>
        <v>100</v>
      </c>
    </row>
    <row r="324" spans="1:10" ht="16.5" customHeight="1">
      <c r="A324" s="67" t="s">
        <v>469</v>
      </c>
      <c r="B324" s="26" t="s">
        <v>150</v>
      </c>
      <c r="C324" s="26" t="s">
        <v>379</v>
      </c>
      <c r="D324" s="26" t="s">
        <v>314</v>
      </c>
      <c r="E324" s="26" t="s">
        <v>311</v>
      </c>
      <c r="F324" s="28"/>
      <c r="G324" s="6">
        <f t="shared" si="40"/>
        <v>0</v>
      </c>
      <c r="H324" s="6">
        <f t="shared" si="40"/>
        <v>500</v>
      </c>
      <c r="I324" s="6">
        <f t="shared" si="40"/>
        <v>500</v>
      </c>
      <c r="J324" s="99">
        <f t="shared" si="34"/>
        <v>100</v>
      </c>
    </row>
    <row r="325" spans="1:10" ht="16.5" customHeight="1">
      <c r="A325" s="67" t="s">
        <v>429</v>
      </c>
      <c r="B325" s="26" t="s">
        <v>150</v>
      </c>
      <c r="C325" s="26" t="s">
        <v>379</v>
      </c>
      <c r="D325" s="26" t="s">
        <v>314</v>
      </c>
      <c r="E325" s="26" t="s">
        <v>312</v>
      </c>
      <c r="F325" s="28" t="s">
        <v>430</v>
      </c>
      <c r="G325" s="6">
        <v>0</v>
      </c>
      <c r="H325" s="6">
        <v>500</v>
      </c>
      <c r="I325" s="6">
        <v>500</v>
      </c>
      <c r="J325" s="99">
        <f t="shared" si="34"/>
        <v>100</v>
      </c>
    </row>
    <row r="326" spans="1:10" ht="32.25" customHeight="1">
      <c r="A326" s="31" t="s">
        <v>409</v>
      </c>
      <c r="B326" s="19">
        <v>810</v>
      </c>
      <c r="C326" s="20" t="s">
        <v>379</v>
      </c>
      <c r="D326" s="20" t="s">
        <v>314</v>
      </c>
      <c r="E326" s="19" t="s">
        <v>316</v>
      </c>
      <c r="F326" s="21"/>
      <c r="G326" s="6">
        <f aca="true" t="shared" si="41" ref="G326:I328">G327</f>
        <v>1590</v>
      </c>
      <c r="H326" s="6">
        <f t="shared" si="41"/>
        <v>1590</v>
      </c>
      <c r="I326" s="6">
        <f t="shared" si="41"/>
        <v>1590</v>
      </c>
      <c r="J326" s="99">
        <f t="shared" si="34"/>
        <v>100</v>
      </c>
    </row>
    <row r="327" spans="1:10" ht="16.5" customHeight="1">
      <c r="A327" s="31" t="s">
        <v>410</v>
      </c>
      <c r="B327" s="19">
        <v>810</v>
      </c>
      <c r="C327" s="20" t="s">
        <v>379</v>
      </c>
      <c r="D327" s="20" t="s">
        <v>314</v>
      </c>
      <c r="E327" s="19" t="s">
        <v>317</v>
      </c>
      <c r="F327" s="21"/>
      <c r="G327" s="6">
        <f t="shared" si="41"/>
        <v>1590</v>
      </c>
      <c r="H327" s="6">
        <f t="shared" si="41"/>
        <v>1590</v>
      </c>
      <c r="I327" s="6">
        <f t="shared" si="41"/>
        <v>1590</v>
      </c>
      <c r="J327" s="99">
        <f t="shared" si="34"/>
        <v>100</v>
      </c>
    </row>
    <row r="328" spans="1:10" ht="16.5" customHeight="1">
      <c r="A328" s="66" t="s">
        <v>318</v>
      </c>
      <c r="B328" s="19">
        <v>810</v>
      </c>
      <c r="C328" s="20" t="s">
        <v>379</v>
      </c>
      <c r="D328" s="20" t="s">
        <v>314</v>
      </c>
      <c r="E328" s="19" t="s">
        <v>319</v>
      </c>
      <c r="F328" s="21"/>
      <c r="G328" s="6">
        <f t="shared" si="41"/>
        <v>1590</v>
      </c>
      <c r="H328" s="6">
        <f t="shared" si="41"/>
        <v>1590</v>
      </c>
      <c r="I328" s="6">
        <f t="shared" si="41"/>
        <v>1590</v>
      </c>
      <c r="J328" s="99">
        <f t="shared" si="34"/>
        <v>100</v>
      </c>
    </row>
    <row r="329" spans="1:10" ht="16.5" customHeight="1">
      <c r="A329" s="66" t="s">
        <v>429</v>
      </c>
      <c r="B329" s="19">
        <v>810</v>
      </c>
      <c r="C329" s="20" t="s">
        <v>379</v>
      </c>
      <c r="D329" s="20" t="s">
        <v>314</v>
      </c>
      <c r="E329" s="19" t="s">
        <v>319</v>
      </c>
      <c r="F329" s="21" t="s">
        <v>430</v>
      </c>
      <c r="G329" s="6">
        <v>1590</v>
      </c>
      <c r="H329" s="6">
        <v>1590</v>
      </c>
      <c r="I329" s="6">
        <v>1590</v>
      </c>
      <c r="J329" s="99">
        <f t="shared" si="34"/>
        <v>100</v>
      </c>
    </row>
    <row r="330" spans="1:10" ht="12" customHeight="1">
      <c r="A330" s="24"/>
      <c r="B330" s="15"/>
      <c r="C330" s="16"/>
      <c r="D330" s="16"/>
      <c r="E330" s="17"/>
      <c r="F330" s="18"/>
      <c r="G330" s="5"/>
      <c r="H330" s="5"/>
      <c r="I330" s="5"/>
      <c r="J330" s="99"/>
    </row>
    <row r="331" spans="1:10" ht="16.5" customHeight="1">
      <c r="A331" s="62" t="s">
        <v>421</v>
      </c>
      <c r="B331" s="15">
        <v>810</v>
      </c>
      <c r="C331" s="16" t="s">
        <v>382</v>
      </c>
      <c r="D331" s="16"/>
      <c r="E331" s="17"/>
      <c r="F331" s="18"/>
      <c r="G331" s="5">
        <f>G332+G352</f>
        <v>194498</v>
      </c>
      <c r="H331" s="5">
        <f>H332+H352</f>
        <v>194512</v>
      </c>
      <c r="I331" s="5">
        <f>I332+I352</f>
        <v>179212</v>
      </c>
      <c r="J331" s="103">
        <f t="shared" si="34"/>
        <v>92.13416138850046</v>
      </c>
    </row>
    <row r="332" spans="1:10" ht="16.5" customHeight="1">
      <c r="A332" s="31" t="s">
        <v>424</v>
      </c>
      <c r="B332" s="19">
        <v>810</v>
      </c>
      <c r="C332" s="20" t="s">
        <v>382</v>
      </c>
      <c r="D332" s="20" t="s">
        <v>388</v>
      </c>
      <c r="E332" s="19"/>
      <c r="F332" s="21"/>
      <c r="G332" s="6">
        <f>G337+G340+G347+G333</f>
        <v>69709</v>
      </c>
      <c r="H332" s="6">
        <f>H337+H340+H347+H333</f>
        <v>69723</v>
      </c>
      <c r="I332" s="6">
        <f>I337+I340+I347+I333</f>
        <v>66405</v>
      </c>
      <c r="J332" s="99">
        <f t="shared" si="34"/>
        <v>95.24116862441375</v>
      </c>
    </row>
    <row r="333" spans="1:10" ht="16.5" customHeight="1">
      <c r="A333" s="31" t="s">
        <v>371</v>
      </c>
      <c r="B333" s="26" t="s">
        <v>150</v>
      </c>
      <c r="C333" s="26" t="s">
        <v>382</v>
      </c>
      <c r="D333" s="26" t="s">
        <v>388</v>
      </c>
      <c r="E333" s="26" t="s">
        <v>427</v>
      </c>
      <c r="F333" s="28"/>
      <c r="G333" s="6">
        <f aca="true" t="shared" si="42" ref="G333:I335">G334</f>
        <v>0</v>
      </c>
      <c r="H333" s="6">
        <f t="shared" si="42"/>
        <v>14</v>
      </c>
      <c r="I333" s="6">
        <f t="shared" si="42"/>
        <v>14</v>
      </c>
      <c r="J333" s="99">
        <f aca="true" t="shared" si="43" ref="J333:J396">I333/H333*100</f>
        <v>100</v>
      </c>
    </row>
    <row r="334" spans="1:10" ht="16.5" customHeight="1">
      <c r="A334" s="8" t="s">
        <v>426</v>
      </c>
      <c r="B334" s="26" t="s">
        <v>150</v>
      </c>
      <c r="C334" s="26" t="s">
        <v>382</v>
      </c>
      <c r="D334" s="26" t="s">
        <v>388</v>
      </c>
      <c r="E334" s="26" t="s">
        <v>428</v>
      </c>
      <c r="F334" s="28"/>
      <c r="G334" s="6">
        <f t="shared" si="42"/>
        <v>0</v>
      </c>
      <c r="H334" s="6">
        <f t="shared" si="42"/>
        <v>14</v>
      </c>
      <c r="I334" s="6">
        <f t="shared" si="42"/>
        <v>14</v>
      </c>
      <c r="J334" s="99">
        <f t="shared" si="43"/>
        <v>100</v>
      </c>
    </row>
    <row r="335" spans="1:10" ht="16.5" customHeight="1">
      <c r="A335" s="67" t="s">
        <v>469</v>
      </c>
      <c r="B335" s="26" t="s">
        <v>150</v>
      </c>
      <c r="C335" s="26" t="s">
        <v>382</v>
      </c>
      <c r="D335" s="26" t="s">
        <v>388</v>
      </c>
      <c r="E335" s="26" t="s">
        <v>311</v>
      </c>
      <c r="F335" s="28"/>
      <c r="G335" s="6">
        <f t="shared" si="42"/>
        <v>0</v>
      </c>
      <c r="H335" s="6">
        <f t="shared" si="42"/>
        <v>14</v>
      </c>
      <c r="I335" s="6">
        <f t="shared" si="42"/>
        <v>14</v>
      </c>
      <c r="J335" s="99">
        <f t="shared" si="43"/>
        <v>100</v>
      </c>
    </row>
    <row r="336" spans="1:10" ht="16.5" customHeight="1">
      <c r="A336" s="60" t="s">
        <v>419</v>
      </c>
      <c r="B336" s="26" t="s">
        <v>150</v>
      </c>
      <c r="C336" s="26" t="s">
        <v>382</v>
      </c>
      <c r="D336" s="26" t="s">
        <v>388</v>
      </c>
      <c r="E336" s="26" t="s">
        <v>312</v>
      </c>
      <c r="F336" s="28" t="s">
        <v>420</v>
      </c>
      <c r="G336" s="6">
        <v>0</v>
      </c>
      <c r="H336" s="6">
        <v>14</v>
      </c>
      <c r="I336" s="6">
        <v>14</v>
      </c>
      <c r="J336" s="99">
        <f t="shared" si="43"/>
        <v>100</v>
      </c>
    </row>
    <row r="337" spans="1:10" ht="16.5" customHeight="1">
      <c r="A337" s="31" t="s">
        <v>303</v>
      </c>
      <c r="B337" s="19">
        <v>810</v>
      </c>
      <c r="C337" s="20" t="s">
        <v>382</v>
      </c>
      <c r="D337" s="20" t="s">
        <v>388</v>
      </c>
      <c r="E337" s="19" t="s">
        <v>304</v>
      </c>
      <c r="F337" s="39"/>
      <c r="G337" s="6">
        <f aca="true" t="shared" si="44" ref="G337:I338">G338</f>
        <v>46000</v>
      </c>
      <c r="H337" s="6">
        <f t="shared" si="44"/>
        <v>46000</v>
      </c>
      <c r="I337" s="6">
        <f t="shared" si="44"/>
        <v>42883</v>
      </c>
      <c r="J337" s="99">
        <f t="shared" si="43"/>
        <v>93.22391304347826</v>
      </c>
    </row>
    <row r="338" spans="1:10" ht="16.5" customHeight="1">
      <c r="A338" s="31" t="s">
        <v>305</v>
      </c>
      <c r="B338" s="19">
        <v>810</v>
      </c>
      <c r="C338" s="20" t="s">
        <v>382</v>
      </c>
      <c r="D338" s="20" t="s">
        <v>388</v>
      </c>
      <c r="E338" s="19" t="s">
        <v>306</v>
      </c>
      <c r="F338" s="39"/>
      <c r="G338" s="6">
        <f t="shared" si="44"/>
        <v>46000</v>
      </c>
      <c r="H338" s="6">
        <f t="shared" si="44"/>
        <v>46000</v>
      </c>
      <c r="I338" s="6">
        <f t="shared" si="44"/>
        <v>42883</v>
      </c>
      <c r="J338" s="99">
        <f t="shared" si="43"/>
        <v>93.22391304347826</v>
      </c>
    </row>
    <row r="339" spans="1:10" ht="16.5" customHeight="1">
      <c r="A339" s="60" t="s">
        <v>419</v>
      </c>
      <c r="B339" s="58">
        <v>810</v>
      </c>
      <c r="C339" s="57" t="s">
        <v>382</v>
      </c>
      <c r="D339" s="57" t="s">
        <v>388</v>
      </c>
      <c r="E339" s="58" t="s">
        <v>306</v>
      </c>
      <c r="F339" s="53" t="s">
        <v>420</v>
      </c>
      <c r="G339" s="6">
        <f>36000+10000</f>
        <v>46000</v>
      </c>
      <c r="H339" s="6">
        <f>36000+10000</f>
        <v>46000</v>
      </c>
      <c r="I339" s="6">
        <v>42883</v>
      </c>
      <c r="J339" s="99">
        <f t="shared" si="43"/>
        <v>93.22391304347826</v>
      </c>
    </row>
    <row r="340" spans="1:10" ht="16.5" customHeight="1">
      <c r="A340" s="31" t="s">
        <v>468</v>
      </c>
      <c r="B340" s="19">
        <v>810</v>
      </c>
      <c r="C340" s="20" t="s">
        <v>382</v>
      </c>
      <c r="D340" s="26" t="s">
        <v>388</v>
      </c>
      <c r="E340" s="27" t="s">
        <v>470</v>
      </c>
      <c r="F340" s="28"/>
      <c r="G340" s="6">
        <f>G343+G345+G341</f>
        <v>2890</v>
      </c>
      <c r="H340" s="6">
        <f>H343+H345+H341</f>
        <v>2890</v>
      </c>
      <c r="I340" s="6">
        <f>I343+I345+I341</f>
        <v>2689</v>
      </c>
      <c r="J340" s="99">
        <f t="shared" si="43"/>
        <v>93.04498269896195</v>
      </c>
    </row>
    <row r="341" spans="1:10" ht="16.5" customHeight="1">
      <c r="A341" s="31" t="s">
        <v>125</v>
      </c>
      <c r="B341" s="19">
        <v>810</v>
      </c>
      <c r="C341" s="20" t="s">
        <v>382</v>
      </c>
      <c r="D341" s="26" t="s">
        <v>388</v>
      </c>
      <c r="E341" s="27" t="s">
        <v>126</v>
      </c>
      <c r="F341" s="28"/>
      <c r="G341" s="9">
        <f>G342</f>
        <v>290</v>
      </c>
      <c r="H341" s="9">
        <f>H342</f>
        <v>290</v>
      </c>
      <c r="I341" s="9">
        <f>I342</f>
        <v>290</v>
      </c>
      <c r="J341" s="99">
        <f t="shared" si="43"/>
        <v>100</v>
      </c>
    </row>
    <row r="342" spans="1:10" ht="16.5" customHeight="1">
      <c r="A342" s="60" t="s">
        <v>419</v>
      </c>
      <c r="B342" s="19">
        <v>810</v>
      </c>
      <c r="C342" s="20" t="s">
        <v>382</v>
      </c>
      <c r="D342" s="26" t="s">
        <v>388</v>
      </c>
      <c r="E342" s="27" t="s">
        <v>126</v>
      </c>
      <c r="F342" s="28" t="s">
        <v>420</v>
      </c>
      <c r="G342" s="9">
        <v>290</v>
      </c>
      <c r="H342" s="9">
        <v>290</v>
      </c>
      <c r="I342" s="9">
        <v>290</v>
      </c>
      <c r="J342" s="99">
        <f t="shared" si="43"/>
        <v>100</v>
      </c>
    </row>
    <row r="343" spans="1:10" ht="79.5" customHeight="1">
      <c r="A343" s="8" t="s">
        <v>621</v>
      </c>
      <c r="B343" s="19">
        <v>810</v>
      </c>
      <c r="C343" s="20" t="s">
        <v>382</v>
      </c>
      <c r="D343" s="26" t="s">
        <v>388</v>
      </c>
      <c r="E343" s="27" t="s">
        <v>471</v>
      </c>
      <c r="F343" s="28"/>
      <c r="G343" s="6">
        <f>G344</f>
        <v>2600</v>
      </c>
      <c r="H343" s="6">
        <f>H344</f>
        <v>2600</v>
      </c>
      <c r="I343" s="6">
        <f>I344</f>
        <v>2399</v>
      </c>
      <c r="J343" s="99">
        <f t="shared" si="43"/>
        <v>92.26923076923077</v>
      </c>
    </row>
    <row r="344" spans="1:10" ht="16.5" customHeight="1">
      <c r="A344" s="64" t="s">
        <v>422</v>
      </c>
      <c r="B344" s="58">
        <v>810</v>
      </c>
      <c r="C344" s="57" t="s">
        <v>382</v>
      </c>
      <c r="D344" s="54" t="s">
        <v>388</v>
      </c>
      <c r="E344" s="55" t="s">
        <v>471</v>
      </c>
      <c r="F344" s="56" t="s">
        <v>423</v>
      </c>
      <c r="G344" s="6">
        <f>4100-1500</f>
        <v>2600</v>
      </c>
      <c r="H344" s="6">
        <f>4100-1500</f>
        <v>2600</v>
      </c>
      <c r="I344" s="6">
        <v>2399</v>
      </c>
      <c r="J344" s="99">
        <f t="shared" si="43"/>
        <v>92.26923076923077</v>
      </c>
    </row>
    <row r="345" spans="1:10" ht="33" customHeight="1" hidden="1">
      <c r="A345" s="64" t="s">
        <v>146</v>
      </c>
      <c r="B345" s="58">
        <v>810</v>
      </c>
      <c r="C345" s="57" t="s">
        <v>382</v>
      </c>
      <c r="D345" s="54" t="s">
        <v>388</v>
      </c>
      <c r="E345" s="55" t="s">
        <v>147</v>
      </c>
      <c r="F345" s="56"/>
      <c r="G345" s="6">
        <f>G346</f>
        <v>0</v>
      </c>
      <c r="H345" s="6">
        <f>H346</f>
        <v>0</v>
      </c>
      <c r="I345" s="6">
        <f>I346</f>
        <v>0</v>
      </c>
      <c r="J345" s="99" t="e">
        <f t="shared" si="43"/>
        <v>#DIV/0!</v>
      </c>
    </row>
    <row r="346" spans="1:10" ht="16.5" customHeight="1" hidden="1">
      <c r="A346" s="60" t="s">
        <v>419</v>
      </c>
      <c r="B346" s="58">
        <v>810</v>
      </c>
      <c r="C346" s="57" t="s">
        <v>382</v>
      </c>
      <c r="D346" s="54" t="s">
        <v>388</v>
      </c>
      <c r="E346" s="55" t="s">
        <v>147</v>
      </c>
      <c r="F346" s="56" t="s">
        <v>420</v>
      </c>
      <c r="G346" s="6">
        <f>37737-37737</f>
        <v>0</v>
      </c>
      <c r="H346" s="6">
        <f>37737-37737</f>
        <v>0</v>
      </c>
      <c r="I346" s="6">
        <f>37737-37737</f>
        <v>0</v>
      </c>
      <c r="J346" s="99" t="e">
        <f t="shared" si="43"/>
        <v>#DIV/0!</v>
      </c>
    </row>
    <row r="347" spans="1:10" ht="16.5" customHeight="1">
      <c r="A347" s="64" t="s">
        <v>219</v>
      </c>
      <c r="B347" s="58">
        <v>810</v>
      </c>
      <c r="C347" s="57" t="s">
        <v>382</v>
      </c>
      <c r="D347" s="54" t="s">
        <v>388</v>
      </c>
      <c r="E347" s="55" t="s">
        <v>548</v>
      </c>
      <c r="F347" s="56"/>
      <c r="G347" s="6">
        <f aca="true" t="shared" si="45" ref="G347:I349">G348</f>
        <v>20819</v>
      </c>
      <c r="H347" s="6">
        <f t="shared" si="45"/>
        <v>20819</v>
      </c>
      <c r="I347" s="6">
        <f t="shared" si="45"/>
        <v>20819</v>
      </c>
      <c r="J347" s="99">
        <f t="shared" si="43"/>
        <v>100</v>
      </c>
    </row>
    <row r="348" spans="1:10" ht="16.5" customHeight="1">
      <c r="A348" s="64" t="s">
        <v>75</v>
      </c>
      <c r="B348" s="58">
        <v>810</v>
      </c>
      <c r="C348" s="57" t="s">
        <v>382</v>
      </c>
      <c r="D348" s="54" t="s">
        <v>388</v>
      </c>
      <c r="E348" s="55" t="s">
        <v>76</v>
      </c>
      <c r="F348" s="56"/>
      <c r="G348" s="6">
        <f t="shared" si="45"/>
        <v>20819</v>
      </c>
      <c r="H348" s="6">
        <f t="shared" si="45"/>
        <v>20819</v>
      </c>
      <c r="I348" s="6">
        <f t="shared" si="45"/>
        <v>20819</v>
      </c>
      <c r="J348" s="99">
        <f t="shared" si="43"/>
        <v>100</v>
      </c>
    </row>
    <row r="349" spans="1:10" ht="49.5" customHeight="1">
      <c r="A349" s="60" t="s">
        <v>160</v>
      </c>
      <c r="B349" s="58">
        <v>810</v>
      </c>
      <c r="C349" s="57" t="s">
        <v>382</v>
      </c>
      <c r="D349" s="54" t="s">
        <v>388</v>
      </c>
      <c r="E349" s="55" t="s">
        <v>161</v>
      </c>
      <c r="F349" s="56"/>
      <c r="G349" s="6">
        <f t="shared" si="45"/>
        <v>20819</v>
      </c>
      <c r="H349" s="6">
        <f t="shared" si="45"/>
        <v>20819</v>
      </c>
      <c r="I349" s="6">
        <f t="shared" si="45"/>
        <v>20819</v>
      </c>
      <c r="J349" s="99">
        <f t="shared" si="43"/>
        <v>100</v>
      </c>
    </row>
    <row r="350" spans="1:10" ht="16.5" customHeight="1">
      <c r="A350" s="64" t="s">
        <v>422</v>
      </c>
      <c r="B350" s="58">
        <v>810</v>
      </c>
      <c r="C350" s="57" t="s">
        <v>382</v>
      </c>
      <c r="D350" s="54" t="s">
        <v>388</v>
      </c>
      <c r="E350" s="55" t="s">
        <v>161</v>
      </c>
      <c r="F350" s="56" t="s">
        <v>423</v>
      </c>
      <c r="G350" s="6">
        <f>9961+2381+8477</f>
        <v>20819</v>
      </c>
      <c r="H350" s="6">
        <f>9961+2381+8477</f>
        <v>20819</v>
      </c>
      <c r="I350" s="6">
        <f>9961+2381+8477</f>
        <v>20819</v>
      </c>
      <c r="J350" s="99">
        <f t="shared" si="43"/>
        <v>100</v>
      </c>
    </row>
    <row r="351" spans="1:10" ht="12" customHeight="1">
      <c r="A351" s="64"/>
      <c r="B351" s="58"/>
      <c r="C351" s="57"/>
      <c r="D351" s="54"/>
      <c r="E351" s="55"/>
      <c r="F351" s="56"/>
      <c r="G351" s="6"/>
      <c r="H351" s="6"/>
      <c r="I351" s="6"/>
      <c r="J351" s="99"/>
    </row>
    <row r="352" spans="1:10" ht="16.5" customHeight="1">
      <c r="A352" s="31" t="s">
        <v>559</v>
      </c>
      <c r="B352" s="58">
        <v>810</v>
      </c>
      <c r="C352" s="20" t="s">
        <v>382</v>
      </c>
      <c r="D352" s="20" t="s">
        <v>385</v>
      </c>
      <c r="E352" s="19"/>
      <c r="F352" s="21"/>
      <c r="G352" s="6">
        <f>G353</f>
        <v>124789</v>
      </c>
      <c r="H352" s="6">
        <f>H353</f>
        <v>124789</v>
      </c>
      <c r="I352" s="6">
        <f>I353</f>
        <v>112807</v>
      </c>
      <c r="J352" s="99">
        <f t="shared" si="43"/>
        <v>90.39819214834641</v>
      </c>
    </row>
    <row r="353" spans="1:10" ht="32.25" customHeight="1">
      <c r="A353" s="31" t="s">
        <v>21</v>
      </c>
      <c r="B353" s="58">
        <v>810</v>
      </c>
      <c r="C353" s="20" t="s">
        <v>382</v>
      </c>
      <c r="D353" s="20" t="s">
        <v>385</v>
      </c>
      <c r="E353" s="19" t="s">
        <v>22</v>
      </c>
      <c r="F353" s="21"/>
      <c r="G353" s="6">
        <f>G354+G357+G359</f>
        <v>124789</v>
      </c>
      <c r="H353" s="6">
        <f>H354+H357+H359</f>
        <v>124789</v>
      </c>
      <c r="I353" s="6">
        <f>I354+I357+I359</f>
        <v>112807</v>
      </c>
      <c r="J353" s="99">
        <f t="shared" si="43"/>
        <v>90.39819214834641</v>
      </c>
    </row>
    <row r="354" spans="1:10" ht="32.25" customHeight="1">
      <c r="A354" s="31" t="s">
        <v>23</v>
      </c>
      <c r="B354" s="58">
        <v>810</v>
      </c>
      <c r="C354" s="20" t="s">
        <v>382</v>
      </c>
      <c r="D354" s="20" t="s">
        <v>385</v>
      </c>
      <c r="E354" s="19" t="s">
        <v>24</v>
      </c>
      <c r="F354" s="21"/>
      <c r="G354" s="6">
        <f aca="true" t="shared" si="46" ref="G354:I355">G355</f>
        <v>88052</v>
      </c>
      <c r="H354" s="6">
        <f t="shared" si="46"/>
        <v>88052</v>
      </c>
      <c r="I354" s="6">
        <f t="shared" si="46"/>
        <v>76165</v>
      </c>
      <c r="J354" s="99">
        <f t="shared" si="43"/>
        <v>86.50002271385091</v>
      </c>
    </row>
    <row r="355" spans="1:10" ht="16.5" customHeight="1">
      <c r="A355" s="31" t="s">
        <v>25</v>
      </c>
      <c r="B355" s="58">
        <v>810</v>
      </c>
      <c r="C355" s="20" t="s">
        <v>382</v>
      </c>
      <c r="D355" s="20" t="s">
        <v>385</v>
      </c>
      <c r="E355" s="19" t="s">
        <v>26</v>
      </c>
      <c r="F355" s="21"/>
      <c r="G355" s="6">
        <f t="shared" si="46"/>
        <v>88052</v>
      </c>
      <c r="H355" s="6">
        <f t="shared" si="46"/>
        <v>88052</v>
      </c>
      <c r="I355" s="6">
        <f t="shared" si="46"/>
        <v>76165</v>
      </c>
      <c r="J355" s="99">
        <f t="shared" si="43"/>
        <v>86.50002271385091</v>
      </c>
    </row>
    <row r="356" spans="1:10" ht="16.5" customHeight="1">
      <c r="A356" s="60" t="s">
        <v>419</v>
      </c>
      <c r="B356" s="58">
        <v>810</v>
      </c>
      <c r="C356" s="20" t="s">
        <v>382</v>
      </c>
      <c r="D356" s="20" t="s">
        <v>385</v>
      </c>
      <c r="E356" s="19" t="s">
        <v>27</v>
      </c>
      <c r="F356" s="21" t="s">
        <v>420</v>
      </c>
      <c r="G356" s="6">
        <v>88052</v>
      </c>
      <c r="H356" s="6">
        <v>88052</v>
      </c>
      <c r="I356" s="6">
        <v>76165</v>
      </c>
      <c r="J356" s="99">
        <f t="shared" si="43"/>
        <v>86.50002271385091</v>
      </c>
    </row>
    <row r="357" spans="1:10" ht="32.25" customHeight="1">
      <c r="A357" s="64" t="s">
        <v>146</v>
      </c>
      <c r="B357" s="58">
        <v>810</v>
      </c>
      <c r="C357" s="57" t="s">
        <v>382</v>
      </c>
      <c r="D357" s="54" t="s">
        <v>385</v>
      </c>
      <c r="E357" s="55" t="s">
        <v>28</v>
      </c>
      <c r="F357" s="56"/>
      <c r="G357" s="6">
        <f>G358</f>
        <v>32737</v>
      </c>
      <c r="H357" s="6">
        <f>H358</f>
        <v>32737</v>
      </c>
      <c r="I357" s="6">
        <f>I358</f>
        <v>32642</v>
      </c>
      <c r="J357" s="99">
        <f t="shared" si="43"/>
        <v>99.70980847359257</v>
      </c>
    </row>
    <row r="358" spans="1:10" ht="16.5" customHeight="1">
      <c r="A358" s="60" t="s">
        <v>419</v>
      </c>
      <c r="B358" s="58">
        <v>810</v>
      </c>
      <c r="C358" s="57" t="s">
        <v>382</v>
      </c>
      <c r="D358" s="54" t="s">
        <v>385</v>
      </c>
      <c r="E358" s="55" t="s">
        <v>28</v>
      </c>
      <c r="F358" s="56" t="s">
        <v>420</v>
      </c>
      <c r="G358" s="6">
        <f>37737-5000</f>
        <v>32737</v>
      </c>
      <c r="H358" s="6">
        <f>37737-5000</f>
        <v>32737</v>
      </c>
      <c r="I358" s="6">
        <v>32642</v>
      </c>
      <c r="J358" s="99">
        <f t="shared" si="43"/>
        <v>99.70980847359257</v>
      </c>
    </row>
    <row r="359" spans="1:10" ht="32.25" customHeight="1">
      <c r="A359" s="60" t="s">
        <v>248</v>
      </c>
      <c r="B359" s="58">
        <v>810</v>
      </c>
      <c r="C359" s="57" t="s">
        <v>382</v>
      </c>
      <c r="D359" s="54" t="s">
        <v>385</v>
      </c>
      <c r="E359" s="55" t="s">
        <v>535</v>
      </c>
      <c r="F359" s="56"/>
      <c r="G359" s="9">
        <f>G360+G362</f>
        <v>4000</v>
      </c>
      <c r="H359" s="9">
        <f>H360+H362</f>
        <v>4000</v>
      </c>
      <c r="I359" s="9">
        <f>I360+I362</f>
        <v>4000</v>
      </c>
      <c r="J359" s="99">
        <f t="shared" si="43"/>
        <v>100</v>
      </c>
    </row>
    <row r="360" spans="1:10" ht="32.25" customHeight="1">
      <c r="A360" s="60" t="s">
        <v>177</v>
      </c>
      <c r="B360" s="58">
        <v>810</v>
      </c>
      <c r="C360" s="57" t="s">
        <v>382</v>
      </c>
      <c r="D360" s="54" t="s">
        <v>385</v>
      </c>
      <c r="E360" s="55" t="s">
        <v>536</v>
      </c>
      <c r="F360" s="56"/>
      <c r="G360" s="9">
        <f>G361</f>
        <v>2000</v>
      </c>
      <c r="H360" s="9">
        <f>H361</f>
        <v>2000</v>
      </c>
      <c r="I360" s="9">
        <f>I361</f>
        <v>2000</v>
      </c>
      <c r="J360" s="99">
        <f t="shared" si="43"/>
        <v>100</v>
      </c>
    </row>
    <row r="361" spans="1:10" ht="16.5" customHeight="1">
      <c r="A361" s="60" t="s">
        <v>419</v>
      </c>
      <c r="B361" s="58">
        <v>810</v>
      </c>
      <c r="C361" s="57" t="s">
        <v>382</v>
      </c>
      <c r="D361" s="54" t="s">
        <v>385</v>
      </c>
      <c r="E361" s="55" t="s">
        <v>536</v>
      </c>
      <c r="F361" s="56" t="s">
        <v>420</v>
      </c>
      <c r="G361" s="9">
        <v>2000</v>
      </c>
      <c r="H361" s="9">
        <v>2000</v>
      </c>
      <c r="I361" s="9">
        <v>2000</v>
      </c>
      <c r="J361" s="99">
        <f t="shared" si="43"/>
        <v>100</v>
      </c>
    </row>
    <row r="362" spans="1:10" ht="32.25" customHeight="1">
      <c r="A362" s="60" t="s">
        <v>178</v>
      </c>
      <c r="B362" s="58">
        <v>810</v>
      </c>
      <c r="C362" s="20" t="s">
        <v>382</v>
      </c>
      <c r="D362" s="20" t="s">
        <v>385</v>
      </c>
      <c r="E362" s="19" t="s">
        <v>537</v>
      </c>
      <c r="F362" s="21"/>
      <c r="G362" s="85">
        <f>G363</f>
        <v>2000</v>
      </c>
      <c r="H362" s="85">
        <f>H363</f>
        <v>2000</v>
      </c>
      <c r="I362" s="85">
        <f>I363</f>
        <v>2000</v>
      </c>
      <c r="J362" s="99">
        <f t="shared" si="43"/>
        <v>100</v>
      </c>
    </row>
    <row r="363" spans="1:10" ht="16.5" customHeight="1">
      <c r="A363" s="60" t="s">
        <v>419</v>
      </c>
      <c r="B363" s="58">
        <v>810</v>
      </c>
      <c r="C363" s="20" t="s">
        <v>382</v>
      </c>
      <c r="D363" s="20" t="s">
        <v>385</v>
      </c>
      <c r="E363" s="19" t="s">
        <v>537</v>
      </c>
      <c r="F363" s="21" t="s">
        <v>420</v>
      </c>
      <c r="G363" s="85">
        <v>2000</v>
      </c>
      <c r="H363" s="85">
        <v>2000</v>
      </c>
      <c r="I363" s="85">
        <v>2000</v>
      </c>
      <c r="J363" s="99">
        <f t="shared" si="43"/>
        <v>100</v>
      </c>
    </row>
    <row r="364" spans="1:10" ht="12" customHeight="1">
      <c r="A364" s="8"/>
      <c r="B364" s="27"/>
      <c r="C364" s="20"/>
      <c r="D364" s="26"/>
      <c r="E364" s="27"/>
      <c r="F364" s="28"/>
      <c r="G364" s="6"/>
      <c r="H364" s="6"/>
      <c r="I364" s="6"/>
      <c r="J364" s="99"/>
    </row>
    <row r="365" spans="1:10" ht="16.5" customHeight="1">
      <c r="A365" s="62" t="s">
        <v>206</v>
      </c>
      <c r="B365" s="15">
        <v>810</v>
      </c>
      <c r="C365" s="30" t="s">
        <v>389</v>
      </c>
      <c r="D365" s="16"/>
      <c r="E365" s="17"/>
      <c r="F365" s="18"/>
      <c r="G365" s="5">
        <f>G366+G398+G429+G424</f>
        <v>533314</v>
      </c>
      <c r="H365" s="5">
        <f>H366+H398+H429+H424</f>
        <v>542052</v>
      </c>
      <c r="I365" s="5">
        <f>I366+I398+I429+I424</f>
        <v>513315</v>
      </c>
      <c r="J365" s="103">
        <f t="shared" si="43"/>
        <v>94.69847911270506</v>
      </c>
    </row>
    <row r="366" spans="1:10" ht="16.5" customHeight="1">
      <c r="A366" s="31" t="s">
        <v>207</v>
      </c>
      <c r="B366" s="19">
        <v>810</v>
      </c>
      <c r="C366" s="20" t="s">
        <v>389</v>
      </c>
      <c r="D366" s="20" t="s">
        <v>379</v>
      </c>
      <c r="E366" s="38"/>
      <c r="F366" s="39"/>
      <c r="G366" s="6">
        <f>G378+G371+G394+G367</f>
        <v>360303</v>
      </c>
      <c r="H366" s="6">
        <f>H378+H371+H394+H367</f>
        <v>363198</v>
      </c>
      <c r="I366" s="6">
        <f>I378+I371+I394+I367</f>
        <v>353700</v>
      </c>
      <c r="J366" s="99">
        <f t="shared" si="43"/>
        <v>97.38489749392893</v>
      </c>
    </row>
    <row r="367" spans="1:10" ht="16.5" customHeight="1">
      <c r="A367" s="31" t="s">
        <v>371</v>
      </c>
      <c r="B367" s="26" t="s">
        <v>150</v>
      </c>
      <c r="C367" s="26" t="s">
        <v>389</v>
      </c>
      <c r="D367" s="26" t="s">
        <v>379</v>
      </c>
      <c r="E367" s="26" t="s">
        <v>427</v>
      </c>
      <c r="F367" s="28"/>
      <c r="G367" s="6">
        <f aca="true" t="shared" si="47" ref="G367:I369">G368</f>
        <v>0</v>
      </c>
      <c r="H367" s="6">
        <f t="shared" si="47"/>
        <v>2895</v>
      </c>
      <c r="I367" s="6">
        <f t="shared" si="47"/>
        <v>1288</v>
      </c>
      <c r="J367" s="99">
        <f t="shared" si="43"/>
        <v>44.490500863557855</v>
      </c>
    </row>
    <row r="368" spans="1:10" ht="16.5" customHeight="1">
      <c r="A368" s="8" t="s">
        <v>426</v>
      </c>
      <c r="B368" s="26" t="s">
        <v>150</v>
      </c>
      <c r="C368" s="26" t="s">
        <v>389</v>
      </c>
      <c r="D368" s="26" t="s">
        <v>379</v>
      </c>
      <c r="E368" s="26" t="s">
        <v>428</v>
      </c>
      <c r="F368" s="28"/>
      <c r="G368" s="6">
        <f t="shared" si="47"/>
        <v>0</v>
      </c>
      <c r="H368" s="6">
        <f t="shared" si="47"/>
        <v>2895</v>
      </c>
      <c r="I368" s="6">
        <f t="shared" si="47"/>
        <v>1288</v>
      </c>
      <c r="J368" s="99">
        <f t="shared" si="43"/>
        <v>44.490500863557855</v>
      </c>
    </row>
    <row r="369" spans="1:10" ht="16.5" customHeight="1">
      <c r="A369" s="67" t="s">
        <v>469</v>
      </c>
      <c r="B369" s="26" t="s">
        <v>150</v>
      </c>
      <c r="C369" s="26" t="s">
        <v>389</v>
      </c>
      <c r="D369" s="26" t="s">
        <v>379</v>
      </c>
      <c r="E369" s="26" t="s">
        <v>311</v>
      </c>
      <c r="F369" s="28"/>
      <c r="G369" s="6">
        <f t="shared" si="47"/>
        <v>0</v>
      </c>
      <c r="H369" s="6">
        <f t="shared" si="47"/>
        <v>2895</v>
      </c>
      <c r="I369" s="6">
        <f t="shared" si="47"/>
        <v>1288</v>
      </c>
      <c r="J369" s="99">
        <f t="shared" si="43"/>
        <v>44.490500863557855</v>
      </c>
    </row>
    <row r="370" spans="1:10" ht="16.5" customHeight="1">
      <c r="A370" s="60" t="s">
        <v>419</v>
      </c>
      <c r="B370" s="26" t="s">
        <v>150</v>
      </c>
      <c r="C370" s="26" t="s">
        <v>389</v>
      </c>
      <c r="D370" s="26" t="s">
        <v>379</v>
      </c>
      <c r="E370" s="26" t="s">
        <v>312</v>
      </c>
      <c r="F370" s="28" t="s">
        <v>420</v>
      </c>
      <c r="G370" s="6">
        <v>0</v>
      </c>
      <c r="H370" s="6">
        <v>2895</v>
      </c>
      <c r="I370" s="6">
        <v>1288</v>
      </c>
      <c r="J370" s="99">
        <f t="shared" si="43"/>
        <v>44.490500863557855</v>
      </c>
    </row>
    <row r="371" spans="1:10" ht="49.5" customHeight="1">
      <c r="A371" s="31" t="s">
        <v>15</v>
      </c>
      <c r="B371" s="19">
        <v>810</v>
      </c>
      <c r="C371" s="20" t="s">
        <v>389</v>
      </c>
      <c r="D371" s="20" t="s">
        <v>379</v>
      </c>
      <c r="E371" s="19" t="s">
        <v>18</v>
      </c>
      <c r="F371" s="21"/>
      <c r="G371" s="6">
        <f>G375+G372</f>
        <v>252754</v>
      </c>
      <c r="H371" s="6">
        <f>H375+H372</f>
        <v>252754</v>
      </c>
      <c r="I371" s="6">
        <f>I375+I372</f>
        <v>252752</v>
      </c>
      <c r="J371" s="99">
        <f t="shared" si="43"/>
        <v>99.999208716776</v>
      </c>
    </row>
    <row r="372" spans="1:10" ht="79.5" customHeight="1">
      <c r="A372" s="31" t="s">
        <v>71</v>
      </c>
      <c r="B372" s="19">
        <v>810</v>
      </c>
      <c r="C372" s="20" t="s">
        <v>389</v>
      </c>
      <c r="D372" s="20" t="s">
        <v>379</v>
      </c>
      <c r="E372" s="19" t="s">
        <v>72</v>
      </c>
      <c r="F372" s="21"/>
      <c r="G372" s="6">
        <f aca="true" t="shared" si="48" ref="G372:I373">G373</f>
        <v>231542</v>
      </c>
      <c r="H372" s="6">
        <f t="shared" si="48"/>
        <v>231542</v>
      </c>
      <c r="I372" s="6">
        <f t="shared" si="48"/>
        <v>231541</v>
      </c>
      <c r="J372" s="99">
        <f t="shared" si="43"/>
        <v>99.99956811291256</v>
      </c>
    </row>
    <row r="373" spans="1:10" ht="32.25" customHeight="1">
      <c r="A373" s="31" t="s">
        <v>52</v>
      </c>
      <c r="B373" s="19">
        <v>810</v>
      </c>
      <c r="C373" s="20" t="s">
        <v>389</v>
      </c>
      <c r="D373" s="20" t="s">
        <v>379</v>
      </c>
      <c r="E373" s="19" t="s">
        <v>73</v>
      </c>
      <c r="F373" s="21"/>
      <c r="G373" s="6">
        <f t="shared" si="48"/>
        <v>231542</v>
      </c>
      <c r="H373" s="6">
        <f t="shared" si="48"/>
        <v>231542</v>
      </c>
      <c r="I373" s="6">
        <f t="shared" si="48"/>
        <v>231541</v>
      </c>
      <c r="J373" s="99">
        <f t="shared" si="43"/>
        <v>99.99956811291256</v>
      </c>
    </row>
    <row r="374" spans="1:10" ht="16.5" customHeight="1">
      <c r="A374" s="64" t="s">
        <v>422</v>
      </c>
      <c r="B374" s="19">
        <v>810</v>
      </c>
      <c r="C374" s="20" t="s">
        <v>389</v>
      </c>
      <c r="D374" s="20" t="s">
        <v>379</v>
      </c>
      <c r="E374" s="19" t="s">
        <v>74</v>
      </c>
      <c r="F374" s="21" t="s">
        <v>423</v>
      </c>
      <c r="G374" s="6">
        <f>38167+649422-456047</f>
        <v>231542</v>
      </c>
      <c r="H374" s="6">
        <f>38167+649422-456047</f>
        <v>231542</v>
      </c>
      <c r="I374" s="6">
        <v>231541</v>
      </c>
      <c r="J374" s="99">
        <f t="shared" si="43"/>
        <v>99.99956811291256</v>
      </c>
    </row>
    <row r="375" spans="1:10" ht="49.5" customHeight="1">
      <c r="A375" s="31" t="s">
        <v>16</v>
      </c>
      <c r="B375" s="19">
        <v>810</v>
      </c>
      <c r="C375" s="20" t="s">
        <v>389</v>
      </c>
      <c r="D375" s="20" t="s">
        <v>379</v>
      </c>
      <c r="E375" s="19" t="s">
        <v>19</v>
      </c>
      <c r="F375" s="21"/>
      <c r="G375" s="6">
        <f aca="true" t="shared" si="49" ref="G375:I376">G376</f>
        <v>21212</v>
      </c>
      <c r="H375" s="6">
        <f t="shared" si="49"/>
        <v>21212</v>
      </c>
      <c r="I375" s="6">
        <f t="shared" si="49"/>
        <v>21211</v>
      </c>
      <c r="J375" s="99">
        <f t="shared" si="43"/>
        <v>99.99528568734678</v>
      </c>
    </row>
    <row r="376" spans="1:10" ht="32.25" customHeight="1">
      <c r="A376" s="31" t="s">
        <v>52</v>
      </c>
      <c r="B376" s="19">
        <v>810</v>
      </c>
      <c r="C376" s="20" t="s">
        <v>389</v>
      </c>
      <c r="D376" s="20" t="s">
        <v>379</v>
      </c>
      <c r="E376" s="19" t="s">
        <v>51</v>
      </c>
      <c r="F376" s="21"/>
      <c r="G376" s="6">
        <f t="shared" si="49"/>
        <v>21212</v>
      </c>
      <c r="H376" s="6">
        <f t="shared" si="49"/>
        <v>21212</v>
      </c>
      <c r="I376" s="6">
        <f t="shared" si="49"/>
        <v>21211</v>
      </c>
      <c r="J376" s="99">
        <f t="shared" si="43"/>
        <v>99.99528568734678</v>
      </c>
    </row>
    <row r="377" spans="1:10" ht="16.5" customHeight="1">
      <c r="A377" s="64" t="s">
        <v>422</v>
      </c>
      <c r="B377" s="19">
        <v>810</v>
      </c>
      <c r="C377" s="20" t="s">
        <v>389</v>
      </c>
      <c r="D377" s="20" t="s">
        <v>379</v>
      </c>
      <c r="E377" s="19" t="s">
        <v>51</v>
      </c>
      <c r="F377" s="21" t="s">
        <v>423</v>
      </c>
      <c r="G377" s="6">
        <f>50000+8040-17801+11996-8435-22640+52</f>
        <v>21212</v>
      </c>
      <c r="H377" s="6">
        <f>50000+8040-17801+11996-8435-22640+52</f>
        <v>21212</v>
      </c>
      <c r="I377" s="6">
        <v>21211</v>
      </c>
      <c r="J377" s="99">
        <f t="shared" si="43"/>
        <v>99.99528568734678</v>
      </c>
    </row>
    <row r="378" spans="1:10" ht="16.5" customHeight="1">
      <c r="A378" s="31" t="s">
        <v>376</v>
      </c>
      <c r="B378" s="19">
        <v>810</v>
      </c>
      <c r="C378" s="26" t="s">
        <v>389</v>
      </c>
      <c r="D378" s="26" t="s">
        <v>379</v>
      </c>
      <c r="E378" s="27" t="s">
        <v>210</v>
      </c>
      <c r="F378" s="35"/>
      <c r="G378" s="6">
        <f>G379+G382+G384+G386+G388+G390+G392</f>
        <v>105434</v>
      </c>
      <c r="H378" s="6">
        <f>H379+H382+H384+H386+H388+H390+H392</f>
        <v>105434</v>
      </c>
      <c r="I378" s="6">
        <f>I379+I382+I384+I386+I388+I390+I392</f>
        <v>97545</v>
      </c>
      <c r="J378" s="99">
        <f t="shared" si="43"/>
        <v>92.51759394502722</v>
      </c>
    </row>
    <row r="379" spans="1:10" ht="32.25" customHeight="1">
      <c r="A379" s="8" t="s">
        <v>208</v>
      </c>
      <c r="B379" s="19">
        <v>810</v>
      </c>
      <c r="C379" s="26" t="s">
        <v>389</v>
      </c>
      <c r="D379" s="26" t="s">
        <v>379</v>
      </c>
      <c r="E379" s="27" t="s">
        <v>211</v>
      </c>
      <c r="F379" s="28"/>
      <c r="G379" s="6">
        <f>G381+G380</f>
        <v>44428</v>
      </c>
      <c r="H379" s="6">
        <f>H381+H380</f>
        <v>44428</v>
      </c>
      <c r="I379" s="6">
        <f>I381+I380</f>
        <v>36848</v>
      </c>
      <c r="J379" s="99">
        <f t="shared" si="43"/>
        <v>82.93868731430629</v>
      </c>
    </row>
    <row r="380" spans="1:10" ht="16.5" customHeight="1">
      <c r="A380" s="64" t="s">
        <v>422</v>
      </c>
      <c r="B380" s="58">
        <v>810</v>
      </c>
      <c r="C380" s="54" t="s">
        <v>389</v>
      </c>
      <c r="D380" s="54" t="s">
        <v>379</v>
      </c>
      <c r="E380" s="55" t="s">
        <v>211</v>
      </c>
      <c r="F380" s="28" t="s">
        <v>423</v>
      </c>
      <c r="G380" s="6">
        <f>55500-30000-3321-6510+600+344</f>
        <v>16613</v>
      </c>
      <c r="H380" s="6">
        <f>55500-30000-3321-6510+600+344</f>
        <v>16613</v>
      </c>
      <c r="I380" s="6">
        <v>16591</v>
      </c>
      <c r="J380" s="99">
        <f t="shared" si="43"/>
        <v>99.86757358694997</v>
      </c>
    </row>
    <row r="381" spans="1:10" ht="16.5" customHeight="1">
      <c r="A381" s="60" t="s">
        <v>419</v>
      </c>
      <c r="B381" s="58">
        <v>810</v>
      </c>
      <c r="C381" s="54" t="s">
        <v>389</v>
      </c>
      <c r="D381" s="54" t="s">
        <v>379</v>
      </c>
      <c r="E381" s="55" t="s">
        <v>211</v>
      </c>
      <c r="F381" s="56" t="s">
        <v>420</v>
      </c>
      <c r="G381" s="10">
        <f>20000-2000+3321+2115+6510-2115+1036-1000-52</f>
        <v>27815</v>
      </c>
      <c r="H381" s="10">
        <f>20000-2000+3321+2115+6510-2115+1036-1000-52</f>
        <v>27815</v>
      </c>
      <c r="I381" s="10">
        <v>20257</v>
      </c>
      <c r="J381" s="99">
        <f t="shared" si="43"/>
        <v>72.82761100125832</v>
      </c>
    </row>
    <row r="382" spans="1:10" ht="16.5" customHeight="1">
      <c r="A382" s="60" t="s">
        <v>462</v>
      </c>
      <c r="B382" s="58">
        <v>810</v>
      </c>
      <c r="C382" s="54" t="s">
        <v>389</v>
      </c>
      <c r="D382" s="54" t="s">
        <v>379</v>
      </c>
      <c r="E382" s="55" t="s">
        <v>463</v>
      </c>
      <c r="F382" s="56"/>
      <c r="G382" s="10">
        <f>G383</f>
        <v>17961</v>
      </c>
      <c r="H382" s="10">
        <f>H383</f>
        <v>17961</v>
      </c>
      <c r="I382" s="10">
        <f>I383</f>
        <v>17928</v>
      </c>
      <c r="J382" s="99">
        <f t="shared" si="43"/>
        <v>99.81626858192752</v>
      </c>
    </row>
    <row r="383" spans="1:10" ht="16.5" customHeight="1">
      <c r="A383" s="60" t="s">
        <v>419</v>
      </c>
      <c r="B383" s="58">
        <v>810</v>
      </c>
      <c r="C383" s="54" t="s">
        <v>389</v>
      </c>
      <c r="D383" s="54" t="s">
        <v>379</v>
      </c>
      <c r="E383" s="55" t="s">
        <v>463</v>
      </c>
      <c r="F383" s="56" t="s">
        <v>420</v>
      </c>
      <c r="G383" s="10">
        <f>16000-2000-950+4911</f>
        <v>17961</v>
      </c>
      <c r="H383" s="10">
        <f>16000-2000-950+4911</f>
        <v>17961</v>
      </c>
      <c r="I383" s="10">
        <v>17928</v>
      </c>
      <c r="J383" s="99">
        <f t="shared" si="43"/>
        <v>99.81626858192752</v>
      </c>
    </row>
    <row r="384" spans="1:10" ht="32.25" customHeight="1">
      <c r="A384" s="60" t="s">
        <v>633</v>
      </c>
      <c r="B384" s="58">
        <v>810</v>
      </c>
      <c r="C384" s="54" t="s">
        <v>389</v>
      </c>
      <c r="D384" s="54" t="s">
        <v>379</v>
      </c>
      <c r="E384" s="55" t="s">
        <v>624</v>
      </c>
      <c r="F384" s="56"/>
      <c r="G384" s="10">
        <f>G385</f>
        <v>3500</v>
      </c>
      <c r="H384" s="10">
        <f>H385</f>
        <v>3500</v>
      </c>
      <c r="I384" s="10">
        <f>I385</f>
        <v>3500</v>
      </c>
      <c r="J384" s="99">
        <f t="shared" si="43"/>
        <v>100</v>
      </c>
    </row>
    <row r="385" spans="1:10" ht="16.5" customHeight="1">
      <c r="A385" s="64" t="s">
        <v>422</v>
      </c>
      <c r="B385" s="58">
        <v>810</v>
      </c>
      <c r="C385" s="54" t="s">
        <v>389</v>
      </c>
      <c r="D385" s="54" t="s">
        <v>379</v>
      </c>
      <c r="E385" s="55" t="s">
        <v>624</v>
      </c>
      <c r="F385" s="56" t="s">
        <v>423</v>
      </c>
      <c r="G385" s="10">
        <v>3500</v>
      </c>
      <c r="H385" s="10">
        <v>3500</v>
      </c>
      <c r="I385" s="10">
        <v>3500</v>
      </c>
      <c r="J385" s="99">
        <f t="shared" si="43"/>
        <v>100</v>
      </c>
    </row>
    <row r="386" spans="1:10" ht="49.5" customHeight="1">
      <c r="A386" s="64" t="s">
        <v>112</v>
      </c>
      <c r="B386" s="58">
        <v>810</v>
      </c>
      <c r="C386" s="54" t="s">
        <v>389</v>
      </c>
      <c r="D386" s="54" t="s">
        <v>379</v>
      </c>
      <c r="E386" s="55" t="s">
        <v>114</v>
      </c>
      <c r="F386" s="56"/>
      <c r="G386" s="9">
        <f>G387</f>
        <v>3272</v>
      </c>
      <c r="H386" s="9">
        <f>H387</f>
        <v>3272</v>
      </c>
      <c r="I386" s="9">
        <f>I387</f>
        <v>3255</v>
      </c>
      <c r="J386" s="99">
        <f t="shared" si="43"/>
        <v>99.48044009779952</v>
      </c>
    </row>
    <row r="387" spans="1:10" ht="16.5" customHeight="1">
      <c r="A387" s="64" t="s">
        <v>422</v>
      </c>
      <c r="B387" s="58">
        <v>810</v>
      </c>
      <c r="C387" s="54" t="s">
        <v>389</v>
      </c>
      <c r="D387" s="54" t="s">
        <v>379</v>
      </c>
      <c r="E387" s="55" t="s">
        <v>114</v>
      </c>
      <c r="F387" s="56" t="s">
        <v>423</v>
      </c>
      <c r="G387" s="9">
        <v>3272</v>
      </c>
      <c r="H387" s="9">
        <v>3272</v>
      </c>
      <c r="I387" s="9">
        <v>3255</v>
      </c>
      <c r="J387" s="99">
        <f t="shared" si="43"/>
        <v>99.48044009779952</v>
      </c>
    </row>
    <row r="388" spans="1:10" ht="66" customHeight="1">
      <c r="A388" s="64" t="s">
        <v>113</v>
      </c>
      <c r="B388" s="58">
        <v>810</v>
      </c>
      <c r="C388" s="54" t="s">
        <v>389</v>
      </c>
      <c r="D388" s="54" t="s">
        <v>379</v>
      </c>
      <c r="E388" s="55" t="s">
        <v>115</v>
      </c>
      <c r="F388" s="56"/>
      <c r="G388" s="9">
        <f>G389</f>
        <v>6273</v>
      </c>
      <c r="H388" s="9">
        <f>H389</f>
        <v>6273</v>
      </c>
      <c r="I388" s="9">
        <f>I389</f>
        <v>6206</v>
      </c>
      <c r="J388" s="99">
        <f t="shared" si="43"/>
        <v>98.93193049577555</v>
      </c>
    </row>
    <row r="389" spans="1:10" ht="16.5" customHeight="1">
      <c r="A389" s="64" t="s">
        <v>422</v>
      </c>
      <c r="B389" s="58">
        <v>810</v>
      </c>
      <c r="C389" s="54" t="s">
        <v>389</v>
      </c>
      <c r="D389" s="54" t="s">
        <v>379</v>
      </c>
      <c r="E389" s="55" t="s">
        <v>115</v>
      </c>
      <c r="F389" s="56" t="s">
        <v>423</v>
      </c>
      <c r="G389" s="9">
        <v>6273</v>
      </c>
      <c r="H389" s="9">
        <v>6273</v>
      </c>
      <c r="I389" s="9">
        <v>6206</v>
      </c>
      <c r="J389" s="99">
        <f t="shared" si="43"/>
        <v>98.93193049577555</v>
      </c>
    </row>
    <row r="390" spans="1:10" ht="66" customHeight="1">
      <c r="A390" s="64" t="s">
        <v>186</v>
      </c>
      <c r="B390" s="58">
        <v>810</v>
      </c>
      <c r="C390" s="54" t="s">
        <v>389</v>
      </c>
      <c r="D390" s="54" t="s">
        <v>379</v>
      </c>
      <c r="E390" s="55" t="s">
        <v>187</v>
      </c>
      <c r="F390" s="56"/>
      <c r="G390" s="9">
        <f>G391</f>
        <v>25000</v>
      </c>
      <c r="H390" s="9">
        <f>H391</f>
        <v>25000</v>
      </c>
      <c r="I390" s="9">
        <f>I391</f>
        <v>24808</v>
      </c>
      <c r="J390" s="99">
        <f t="shared" si="43"/>
        <v>99.232</v>
      </c>
    </row>
    <row r="391" spans="1:10" ht="16.5" customHeight="1">
      <c r="A391" s="64" t="s">
        <v>422</v>
      </c>
      <c r="B391" s="58">
        <v>810</v>
      </c>
      <c r="C391" s="54" t="s">
        <v>389</v>
      </c>
      <c r="D391" s="54" t="s">
        <v>379</v>
      </c>
      <c r="E391" s="55" t="s">
        <v>187</v>
      </c>
      <c r="F391" s="56" t="s">
        <v>423</v>
      </c>
      <c r="G391" s="9">
        <f>25000</f>
        <v>25000</v>
      </c>
      <c r="H391" s="9">
        <f>25000</f>
        <v>25000</v>
      </c>
      <c r="I391" s="9">
        <v>24808</v>
      </c>
      <c r="J391" s="99">
        <f t="shared" si="43"/>
        <v>99.232</v>
      </c>
    </row>
    <row r="392" spans="1:10" ht="66" customHeight="1">
      <c r="A392" s="64" t="s">
        <v>145</v>
      </c>
      <c r="B392" s="58">
        <v>810</v>
      </c>
      <c r="C392" s="54" t="s">
        <v>389</v>
      </c>
      <c r="D392" s="54" t="s">
        <v>379</v>
      </c>
      <c r="E392" s="55" t="s">
        <v>188</v>
      </c>
      <c r="F392" s="56"/>
      <c r="G392" s="9">
        <f>G393</f>
        <v>5000</v>
      </c>
      <c r="H392" s="9">
        <f>H393</f>
        <v>5000</v>
      </c>
      <c r="I392" s="9">
        <f>I393</f>
        <v>5000</v>
      </c>
      <c r="J392" s="99">
        <f t="shared" si="43"/>
        <v>100</v>
      </c>
    </row>
    <row r="393" spans="1:10" ht="16.5" customHeight="1">
      <c r="A393" s="60" t="s">
        <v>419</v>
      </c>
      <c r="B393" s="58">
        <v>810</v>
      </c>
      <c r="C393" s="54" t="s">
        <v>389</v>
      </c>
      <c r="D393" s="54" t="s">
        <v>379</v>
      </c>
      <c r="E393" s="55" t="s">
        <v>188</v>
      </c>
      <c r="F393" s="56" t="s">
        <v>420</v>
      </c>
      <c r="G393" s="9">
        <v>5000</v>
      </c>
      <c r="H393" s="9">
        <v>5000</v>
      </c>
      <c r="I393" s="9">
        <v>5000</v>
      </c>
      <c r="J393" s="99">
        <f t="shared" si="43"/>
        <v>100</v>
      </c>
    </row>
    <row r="394" spans="1:10" ht="16.5" customHeight="1">
      <c r="A394" s="64" t="s">
        <v>646</v>
      </c>
      <c r="B394" s="58">
        <v>810</v>
      </c>
      <c r="C394" s="54" t="s">
        <v>389</v>
      </c>
      <c r="D394" s="54" t="s">
        <v>379</v>
      </c>
      <c r="E394" s="55" t="s">
        <v>650</v>
      </c>
      <c r="F394" s="56"/>
      <c r="G394" s="6">
        <f aca="true" t="shared" si="50" ref="G394:I395">G395</f>
        <v>2115</v>
      </c>
      <c r="H394" s="6">
        <f t="shared" si="50"/>
        <v>2115</v>
      </c>
      <c r="I394" s="6">
        <f t="shared" si="50"/>
        <v>2115</v>
      </c>
      <c r="J394" s="99">
        <f t="shared" si="43"/>
        <v>100</v>
      </c>
    </row>
    <row r="395" spans="1:10" ht="32.25" customHeight="1">
      <c r="A395" s="60" t="s">
        <v>181</v>
      </c>
      <c r="B395" s="58">
        <v>810</v>
      </c>
      <c r="C395" s="54" t="s">
        <v>389</v>
      </c>
      <c r="D395" s="54" t="s">
        <v>379</v>
      </c>
      <c r="E395" s="55" t="s">
        <v>100</v>
      </c>
      <c r="F395" s="56"/>
      <c r="G395" s="6">
        <f t="shared" si="50"/>
        <v>2115</v>
      </c>
      <c r="H395" s="6">
        <f t="shared" si="50"/>
        <v>2115</v>
      </c>
      <c r="I395" s="6">
        <f t="shared" si="50"/>
        <v>2115</v>
      </c>
      <c r="J395" s="99">
        <f t="shared" si="43"/>
        <v>100</v>
      </c>
    </row>
    <row r="396" spans="1:10" ht="16.5" customHeight="1">
      <c r="A396" s="60" t="s">
        <v>419</v>
      </c>
      <c r="B396" s="58">
        <v>810</v>
      </c>
      <c r="C396" s="54" t="s">
        <v>389</v>
      </c>
      <c r="D396" s="54" t="s">
        <v>379</v>
      </c>
      <c r="E396" s="55" t="s">
        <v>100</v>
      </c>
      <c r="F396" s="56" t="s">
        <v>420</v>
      </c>
      <c r="G396" s="6">
        <v>2115</v>
      </c>
      <c r="H396" s="6">
        <v>2115</v>
      </c>
      <c r="I396" s="6">
        <v>2115</v>
      </c>
      <c r="J396" s="99">
        <f t="shared" si="43"/>
        <v>100</v>
      </c>
    </row>
    <row r="397" spans="1:10" ht="12" customHeight="1">
      <c r="A397" s="8"/>
      <c r="B397" s="27"/>
      <c r="C397" s="26"/>
      <c r="D397" s="26"/>
      <c r="E397" s="27"/>
      <c r="F397" s="28"/>
      <c r="G397" s="6"/>
      <c r="H397" s="6"/>
      <c r="I397" s="6"/>
      <c r="J397" s="99"/>
    </row>
    <row r="398" spans="1:10" ht="16.5" customHeight="1">
      <c r="A398" s="31" t="s">
        <v>217</v>
      </c>
      <c r="B398" s="19">
        <v>810</v>
      </c>
      <c r="C398" s="20" t="s">
        <v>389</v>
      </c>
      <c r="D398" s="20" t="s">
        <v>380</v>
      </c>
      <c r="E398" s="19"/>
      <c r="F398" s="21"/>
      <c r="G398" s="6">
        <f>G403+G414+G399</f>
        <v>129001</v>
      </c>
      <c r="H398" s="6">
        <f>H403+H414+H399</f>
        <v>134659</v>
      </c>
      <c r="I398" s="6">
        <f>I403+I414+I399</f>
        <v>118622</v>
      </c>
      <c r="J398" s="99">
        <f aca="true" t="shared" si="51" ref="J398:J460">I398/H398*100</f>
        <v>88.09065862660498</v>
      </c>
    </row>
    <row r="399" spans="1:10" ht="32.25" customHeight="1">
      <c r="A399" s="31" t="s">
        <v>21</v>
      </c>
      <c r="B399" s="19">
        <v>810</v>
      </c>
      <c r="C399" s="26" t="s">
        <v>389</v>
      </c>
      <c r="D399" s="26" t="s">
        <v>380</v>
      </c>
      <c r="E399" s="19" t="s">
        <v>22</v>
      </c>
      <c r="F399" s="21"/>
      <c r="G399" s="9">
        <f aca="true" t="shared" si="52" ref="G399:I401">G400</f>
        <v>20308</v>
      </c>
      <c r="H399" s="9">
        <f t="shared" si="52"/>
        <v>20308</v>
      </c>
      <c r="I399" s="9">
        <f t="shared" si="52"/>
        <v>9915</v>
      </c>
      <c r="J399" s="99">
        <f t="shared" si="51"/>
        <v>48.82312389206224</v>
      </c>
    </row>
    <row r="400" spans="1:10" ht="32.25" customHeight="1">
      <c r="A400" s="31" t="s">
        <v>23</v>
      </c>
      <c r="B400" s="19">
        <v>810</v>
      </c>
      <c r="C400" s="26" t="s">
        <v>389</v>
      </c>
      <c r="D400" s="26" t="s">
        <v>380</v>
      </c>
      <c r="E400" s="19" t="s">
        <v>24</v>
      </c>
      <c r="F400" s="21"/>
      <c r="G400" s="9">
        <f t="shared" si="52"/>
        <v>20308</v>
      </c>
      <c r="H400" s="9">
        <f t="shared" si="52"/>
        <v>20308</v>
      </c>
      <c r="I400" s="9">
        <f t="shared" si="52"/>
        <v>9915</v>
      </c>
      <c r="J400" s="99">
        <f t="shared" si="51"/>
        <v>48.82312389206224</v>
      </c>
    </row>
    <row r="401" spans="1:10" ht="16.5" customHeight="1">
      <c r="A401" s="31" t="s">
        <v>25</v>
      </c>
      <c r="B401" s="19">
        <v>810</v>
      </c>
      <c r="C401" s="26" t="s">
        <v>389</v>
      </c>
      <c r="D401" s="26" t="s">
        <v>380</v>
      </c>
      <c r="E401" s="19" t="s">
        <v>26</v>
      </c>
      <c r="F401" s="21"/>
      <c r="G401" s="9">
        <f t="shared" si="52"/>
        <v>20308</v>
      </c>
      <c r="H401" s="9">
        <f t="shared" si="52"/>
        <v>20308</v>
      </c>
      <c r="I401" s="9">
        <f t="shared" si="52"/>
        <v>9915</v>
      </c>
      <c r="J401" s="99">
        <f t="shared" si="51"/>
        <v>48.82312389206224</v>
      </c>
    </row>
    <row r="402" spans="1:10" ht="16.5" customHeight="1">
      <c r="A402" s="60" t="s">
        <v>419</v>
      </c>
      <c r="B402" s="19">
        <v>810</v>
      </c>
      <c r="C402" s="26" t="s">
        <v>389</v>
      </c>
      <c r="D402" s="26" t="s">
        <v>380</v>
      </c>
      <c r="E402" s="19" t="s">
        <v>27</v>
      </c>
      <c r="F402" s="21" t="s">
        <v>420</v>
      </c>
      <c r="G402" s="9">
        <v>20308</v>
      </c>
      <c r="H402" s="9">
        <v>20308</v>
      </c>
      <c r="I402" s="9">
        <v>9915</v>
      </c>
      <c r="J402" s="99">
        <f t="shared" si="51"/>
        <v>48.82312389206224</v>
      </c>
    </row>
    <row r="403" spans="1:10" ht="16.5" customHeight="1">
      <c r="A403" s="31" t="s">
        <v>377</v>
      </c>
      <c r="B403" s="19">
        <v>810</v>
      </c>
      <c r="C403" s="26" t="s">
        <v>389</v>
      </c>
      <c r="D403" s="26" t="s">
        <v>380</v>
      </c>
      <c r="E403" s="27" t="s">
        <v>221</v>
      </c>
      <c r="F403" s="28"/>
      <c r="G403" s="6">
        <f>G404+G406+G408+G410+G412</f>
        <v>81842</v>
      </c>
      <c r="H403" s="6">
        <f>H404+H406+H408+H410+H412</f>
        <v>81842</v>
      </c>
      <c r="I403" s="6">
        <f>I404+I406+I408+I410+I412</f>
        <v>76534</v>
      </c>
      <c r="J403" s="99">
        <f t="shared" si="51"/>
        <v>93.51433249431832</v>
      </c>
    </row>
    <row r="404" spans="1:10" ht="49.5" customHeight="1">
      <c r="A404" s="64" t="s">
        <v>634</v>
      </c>
      <c r="B404" s="58">
        <v>810</v>
      </c>
      <c r="C404" s="54" t="s">
        <v>389</v>
      </c>
      <c r="D404" s="54" t="s">
        <v>380</v>
      </c>
      <c r="E404" s="55" t="s">
        <v>224</v>
      </c>
      <c r="F404" s="56"/>
      <c r="G404" s="6">
        <f>G405</f>
        <v>36000</v>
      </c>
      <c r="H404" s="6">
        <f>H405</f>
        <v>36000</v>
      </c>
      <c r="I404" s="6">
        <f>I405</f>
        <v>36000</v>
      </c>
      <c r="J404" s="99">
        <f t="shared" si="51"/>
        <v>100</v>
      </c>
    </row>
    <row r="405" spans="1:10" ht="16.5" customHeight="1">
      <c r="A405" s="64" t="s">
        <v>422</v>
      </c>
      <c r="B405" s="58">
        <v>810</v>
      </c>
      <c r="C405" s="57" t="s">
        <v>389</v>
      </c>
      <c r="D405" s="57" t="s">
        <v>380</v>
      </c>
      <c r="E405" s="57" t="s">
        <v>224</v>
      </c>
      <c r="F405" s="53" t="s">
        <v>423</v>
      </c>
      <c r="G405" s="6">
        <v>36000</v>
      </c>
      <c r="H405" s="6">
        <v>36000</v>
      </c>
      <c r="I405" s="6">
        <v>36000</v>
      </c>
      <c r="J405" s="99">
        <f t="shared" si="51"/>
        <v>100</v>
      </c>
    </row>
    <row r="406" spans="1:10" ht="32.25" customHeight="1">
      <c r="A406" s="64" t="s">
        <v>635</v>
      </c>
      <c r="B406" s="58">
        <v>810</v>
      </c>
      <c r="C406" s="57" t="s">
        <v>389</v>
      </c>
      <c r="D406" s="57" t="s">
        <v>380</v>
      </c>
      <c r="E406" s="57" t="s">
        <v>453</v>
      </c>
      <c r="F406" s="53"/>
      <c r="G406" s="6">
        <f>G407</f>
        <v>9600</v>
      </c>
      <c r="H406" s="6">
        <f>H407</f>
        <v>9600</v>
      </c>
      <c r="I406" s="6">
        <f>I407</f>
        <v>9600</v>
      </c>
      <c r="J406" s="99">
        <f t="shared" si="51"/>
        <v>100</v>
      </c>
    </row>
    <row r="407" spans="1:10" ht="16.5" customHeight="1">
      <c r="A407" s="64" t="s">
        <v>422</v>
      </c>
      <c r="B407" s="58">
        <v>810</v>
      </c>
      <c r="C407" s="57" t="s">
        <v>389</v>
      </c>
      <c r="D407" s="57" t="s">
        <v>380</v>
      </c>
      <c r="E407" s="57" t="s">
        <v>453</v>
      </c>
      <c r="F407" s="53" t="s">
        <v>423</v>
      </c>
      <c r="G407" s="6">
        <v>9600</v>
      </c>
      <c r="H407" s="6">
        <v>9600</v>
      </c>
      <c r="I407" s="6">
        <v>9600</v>
      </c>
      <c r="J407" s="99">
        <f t="shared" si="51"/>
        <v>100</v>
      </c>
    </row>
    <row r="408" spans="1:10" ht="32.25" customHeight="1">
      <c r="A408" s="64" t="s">
        <v>54</v>
      </c>
      <c r="B408" s="58">
        <v>810</v>
      </c>
      <c r="C408" s="57" t="s">
        <v>389</v>
      </c>
      <c r="D408" s="57" t="s">
        <v>380</v>
      </c>
      <c r="E408" s="57" t="s">
        <v>625</v>
      </c>
      <c r="F408" s="53"/>
      <c r="G408" s="6">
        <f>G409</f>
        <v>26000</v>
      </c>
      <c r="H408" s="6">
        <f>H409</f>
        <v>26000</v>
      </c>
      <c r="I408" s="6">
        <f>I409</f>
        <v>26000</v>
      </c>
      <c r="J408" s="99">
        <f t="shared" si="51"/>
        <v>100</v>
      </c>
    </row>
    <row r="409" spans="1:10" ht="16.5" customHeight="1">
      <c r="A409" s="64" t="s">
        <v>422</v>
      </c>
      <c r="B409" s="58">
        <v>810</v>
      </c>
      <c r="C409" s="57" t="s">
        <v>389</v>
      </c>
      <c r="D409" s="57" t="s">
        <v>380</v>
      </c>
      <c r="E409" s="57" t="s">
        <v>625</v>
      </c>
      <c r="F409" s="53" t="s">
        <v>423</v>
      </c>
      <c r="G409" s="6">
        <v>26000</v>
      </c>
      <c r="H409" s="6">
        <v>26000</v>
      </c>
      <c r="I409" s="6">
        <v>26000</v>
      </c>
      <c r="J409" s="99">
        <f t="shared" si="51"/>
        <v>100</v>
      </c>
    </row>
    <row r="410" spans="1:10" ht="16.5" customHeight="1">
      <c r="A410" s="64" t="s">
        <v>141</v>
      </c>
      <c r="B410" s="58">
        <v>810</v>
      </c>
      <c r="C410" s="57" t="s">
        <v>389</v>
      </c>
      <c r="D410" s="57" t="s">
        <v>380</v>
      </c>
      <c r="E410" s="57" t="s">
        <v>142</v>
      </c>
      <c r="F410" s="53"/>
      <c r="G410" s="6">
        <f>G411</f>
        <v>950</v>
      </c>
      <c r="H410" s="6">
        <f>H411</f>
        <v>950</v>
      </c>
      <c r="I410" s="6">
        <f>I411</f>
        <v>685</v>
      </c>
      <c r="J410" s="99">
        <f t="shared" si="51"/>
        <v>72.10526315789474</v>
      </c>
    </row>
    <row r="411" spans="1:10" ht="16.5" customHeight="1">
      <c r="A411" s="60" t="s">
        <v>419</v>
      </c>
      <c r="B411" s="58">
        <v>810</v>
      </c>
      <c r="C411" s="57" t="s">
        <v>389</v>
      </c>
      <c r="D411" s="57" t="s">
        <v>380</v>
      </c>
      <c r="E411" s="57" t="s">
        <v>142</v>
      </c>
      <c r="F411" s="53" t="s">
        <v>420</v>
      </c>
      <c r="G411" s="6">
        <v>950</v>
      </c>
      <c r="H411" s="6">
        <v>950</v>
      </c>
      <c r="I411" s="6">
        <v>685</v>
      </c>
      <c r="J411" s="99">
        <f t="shared" si="51"/>
        <v>72.10526315789474</v>
      </c>
    </row>
    <row r="412" spans="1:10" ht="16.5" customHeight="1">
      <c r="A412" s="60" t="s">
        <v>148</v>
      </c>
      <c r="B412" s="58">
        <v>810</v>
      </c>
      <c r="C412" s="57" t="s">
        <v>389</v>
      </c>
      <c r="D412" s="57" t="s">
        <v>380</v>
      </c>
      <c r="E412" s="57" t="s">
        <v>149</v>
      </c>
      <c r="F412" s="53"/>
      <c r="G412" s="6">
        <f>G413</f>
        <v>9292</v>
      </c>
      <c r="H412" s="6">
        <f>H413</f>
        <v>9292</v>
      </c>
      <c r="I412" s="6">
        <f>I413</f>
        <v>4249</v>
      </c>
      <c r="J412" s="99">
        <f t="shared" si="51"/>
        <v>45.72750753336203</v>
      </c>
    </row>
    <row r="413" spans="1:10" ht="16.5" customHeight="1">
      <c r="A413" s="60" t="s">
        <v>419</v>
      </c>
      <c r="B413" s="58">
        <v>810</v>
      </c>
      <c r="C413" s="57" t="s">
        <v>389</v>
      </c>
      <c r="D413" s="57" t="s">
        <v>380</v>
      </c>
      <c r="E413" s="57" t="s">
        <v>149</v>
      </c>
      <c r="F413" s="53" t="s">
        <v>420</v>
      </c>
      <c r="G413" s="6">
        <v>9292</v>
      </c>
      <c r="H413" s="6">
        <v>9292</v>
      </c>
      <c r="I413" s="6">
        <v>4249</v>
      </c>
      <c r="J413" s="99">
        <f t="shared" si="51"/>
        <v>45.72750753336203</v>
      </c>
    </row>
    <row r="414" spans="1:10" ht="16.5" customHeight="1">
      <c r="A414" s="64" t="s">
        <v>219</v>
      </c>
      <c r="B414" s="58">
        <v>810</v>
      </c>
      <c r="C414" s="57" t="s">
        <v>389</v>
      </c>
      <c r="D414" s="57" t="s">
        <v>380</v>
      </c>
      <c r="E414" s="57" t="s">
        <v>548</v>
      </c>
      <c r="F414" s="53"/>
      <c r="G414" s="6">
        <f>G420+G415</f>
        <v>26851</v>
      </c>
      <c r="H414" s="6">
        <f>H420+H415</f>
        <v>32509</v>
      </c>
      <c r="I414" s="6">
        <f>I420+I415</f>
        <v>32173</v>
      </c>
      <c r="J414" s="99">
        <f t="shared" si="51"/>
        <v>98.96644006275184</v>
      </c>
    </row>
    <row r="415" spans="1:10" ht="49.5" customHeight="1">
      <c r="A415" s="64" t="s">
        <v>79</v>
      </c>
      <c r="B415" s="58">
        <v>810</v>
      </c>
      <c r="C415" s="57" t="s">
        <v>389</v>
      </c>
      <c r="D415" s="57" t="s">
        <v>380</v>
      </c>
      <c r="E415" s="57" t="s">
        <v>642</v>
      </c>
      <c r="F415" s="53"/>
      <c r="G415" s="6">
        <f>G416+G418</f>
        <v>846</v>
      </c>
      <c r="H415" s="6">
        <f>H416+H418</f>
        <v>661</v>
      </c>
      <c r="I415" s="6">
        <f>I416+I418</f>
        <v>325</v>
      </c>
      <c r="J415" s="99">
        <f t="shared" si="51"/>
        <v>49.167927382753405</v>
      </c>
    </row>
    <row r="416" spans="1:10" ht="49.5" customHeight="1">
      <c r="A416" s="64" t="s">
        <v>144</v>
      </c>
      <c r="B416" s="58">
        <v>810</v>
      </c>
      <c r="C416" s="57" t="s">
        <v>389</v>
      </c>
      <c r="D416" s="57" t="s">
        <v>380</v>
      </c>
      <c r="E416" s="57" t="s">
        <v>80</v>
      </c>
      <c r="F416" s="53"/>
      <c r="G416" s="6">
        <f>G417</f>
        <v>846</v>
      </c>
      <c r="H416" s="6">
        <f>H417</f>
        <v>661</v>
      </c>
      <c r="I416" s="6">
        <f>I417</f>
        <v>325</v>
      </c>
      <c r="J416" s="99">
        <f t="shared" si="51"/>
        <v>49.167927382753405</v>
      </c>
    </row>
    <row r="417" spans="1:10" ht="16.5" customHeight="1">
      <c r="A417" s="64" t="s">
        <v>422</v>
      </c>
      <c r="B417" s="58">
        <v>810</v>
      </c>
      <c r="C417" s="57" t="s">
        <v>389</v>
      </c>
      <c r="D417" s="57" t="s">
        <v>380</v>
      </c>
      <c r="E417" s="57" t="s">
        <v>80</v>
      </c>
      <c r="F417" s="53" t="s">
        <v>423</v>
      </c>
      <c r="G417" s="6">
        <f>183+50+428+185</f>
        <v>846</v>
      </c>
      <c r="H417" s="6">
        <v>661</v>
      </c>
      <c r="I417" s="6">
        <v>325</v>
      </c>
      <c r="J417" s="99">
        <f t="shared" si="51"/>
        <v>49.167927382753405</v>
      </c>
    </row>
    <row r="418" spans="1:10" ht="32.25" customHeight="1" hidden="1">
      <c r="A418" s="64" t="s">
        <v>162</v>
      </c>
      <c r="B418" s="58">
        <v>810</v>
      </c>
      <c r="C418" s="57" t="s">
        <v>389</v>
      </c>
      <c r="D418" s="57" t="s">
        <v>380</v>
      </c>
      <c r="E418" s="57" t="s">
        <v>163</v>
      </c>
      <c r="F418" s="53"/>
      <c r="G418" s="6">
        <f>G419</f>
        <v>0</v>
      </c>
      <c r="H418" s="6">
        <f>H419</f>
        <v>0</v>
      </c>
      <c r="I418" s="6">
        <f>I419</f>
        <v>0</v>
      </c>
      <c r="J418" s="99" t="e">
        <f t="shared" si="51"/>
        <v>#DIV/0!</v>
      </c>
    </row>
    <row r="419" spans="1:10" ht="16.5" customHeight="1" hidden="1">
      <c r="A419" s="60" t="s">
        <v>419</v>
      </c>
      <c r="B419" s="58">
        <v>810</v>
      </c>
      <c r="C419" s="57" t="s">
        <v>389</v>
      </c>
      <c r="D419" s="57" t="s">
        <v>380</v>
      </c>
      <c r="E419" s="57" t="s">
        <v>163</v>
      </c>
      <c r="F419" s="53" t="s">
        <v>420</v>
      </c>
      <c r="G419" s="6">
        <v>0</v>
      </c>
      <c r="H419" s="6">
        <v>0</v>
      </c>
      <c r="I419" s="6">
        <v>0</v>
      </c>
      <c r="J419" s="99" t="e">
        <f t="shared" si="51"/>
        <v>#DIV/0!</v>
      </c>
    </row>
    <row r="420" spans="1:10" ht="16.5" customHeight="1">
      <c r="A420" s="64" t="s">
        <v>75</v>
      </c>
      <c r="B420" s="58">
        <v>810</v>
      </c>
      <c r="C420" s="57" t="s">
        <v>389</v>
      </c>
      <c r="D420" s="57" t="s">
        <v>380</v>
      </c>
      <c r="E420" s="57" t="s">
        <v>76</v>
      </c>
      <c r="F420" s="53"/>
      <c r="G420" s="6">
        <f aca="true" t="shared" si="53" ref="G420:I421">G421</f>
        <v>26005</v>
      </c>
      <c r="H420" s="6">
        <f t="shared" si="53"/>
        <v>31848</v>
      </c>
      <c r="I420" s="6">
        <f t="shared" si="53"/>
        <v>31848</v>
      </c>
      <c r="J420" s="99">
        <f t="shared" si="51"/>
        <v>100</v>
      </c>
    </row>
    <row r="421" spans="1:10" ht="49.5" customHeight="1">
      <c r="A421" s="64" t="s">
        <v>77</v>
      </c>
      <c r="B421" s="58">
        <v>810</v>
      </c>
      <c r="C421" s="57" t="s">
        <v>389</v>
      </c>
      <c r="D421" s="57" t="s">
        <v>380</v>
      </c>
      <c r="E421" s="57" t="s">
        <v>78</v>
      </c>
      <c r="F421" s="53"/>
      <c r="G421" s="6">
        <f t="shared" si="53"/>
        <v>26005</v>
      </c>
      <c r="H421" s="6">
        <f t="shared" si="53"/>
        <v>31848</v>
      </c>
      <c r="I421" s="6">
        <f t="shared" si="53"/>
        <v>31848</v>
      </c>
      <c r="J421" s="99">
        <f t="shared" si="51"/>
        <v>100</v>
      </c>
    </row>
    <row r="422" spans="1:10" ht="16.5" customHeight="1">
      <c r="A422" s="64" t="s">
        <v>422</v>
      </c>
      <c r="B422" s="58">
        <v>810</v>
      </c>
      <c r="C422" s="57" t="s">
        <v>389</v>
      </c>
      <c r="D422" s="57" t="s">
        <v>380</v>
      </c>
      <c r="E422" s="57" t="s">
        <v>78</v>
      </c>
      <c r="F422" s="53" t="s">
        <v>423</v>
      </c>
      <c r="G422" s="6">
        <f>328+2873+2890+14366+2784+2764</f>
        <v>26005</v>
      </c>
      <c r="H422" s="6">
        <v>31848</v>
      </c>
      <c r="I422" s="6">
        <v>31848</v>
      </c>
      <c r="J422" s="99">
        <f t="shared" si="51"/>
        <v>100</v>
      </c>
    </row>
    <row r="423" spans="1:10" ht="12" customHeight="1">
      <c r="A423" s="64"/>
      <c r="B423" s="58"/>
      <c r="C423" s="57"/>
      <c r="D423" s="57"/>
      <c r="E423" s="57"/>
      <c r="F423" s="53"/>
      <c r="G423" s="6"/>
      <c r="H423" s="6"/>
      <c r="I423" s="6"/>
      <c r="J423" s="99"/>
    </row>
    <row r="424" spans="1:10" ht="16.5" customHeight="1">
      <c r="A424" s="23" t="s">
        <v>200</v>
      </c>
      <c r="B424" s="58">
        <v>810</v>
      </c>
      <c r="C424" s="57" t="s">
        <v>389</v>
      </c>
      <c r="D424" s="57" t="s">
        <v>381</v>
      </c>
      <c r="E424" s="57"/>
      <c r="F424" s="53"/>
      <c r="G424" s="6">
        <f aca="true" t="shared" si="54" ref="G424:I426">G425</f>
        <v>1243</v>
      </c>
      <c r="H424" s="6">
        <f t="shared" si="54"/>
        <v>1243</v>
      </c>
      <c r="I424" s="6">
        <f t="shared" si="54"/>
        <v>1243</v>
      </c>
      <c r="J424" s="99">
        <f t="shared" si="51"/>
        <v>100</v>
      </c>
    </row>
    <row r="425" spans="1:10" ht="16.5" customHeight="1">
      <c r="A425" s="59" t="s">
        <v>200</v>
      </c>
      <c r="B425" s="58">
        <v>810</v>
      </c>
      <c r="C425" s="57" t="s">
        <v>389</v>
      </c>
      <c r="D425" s="57" t="s">
        <v>381</v>
      </c>
      <c r="E425" s="57" t="s">
        <v>226</v>
      </c>
      <c r="F425" s="53"/>
      <c r="G425" s="6">
        <f t="shared" si="54"/>
        <v>1243</v>
      </c>
      <c r="H425" s="6">
        <f t="shared" si="54"/>
        <v>1243</v>
      </c>
      <c r="I425" s="6">
        <f t="shared" si="54"/>
        <v>1243</v>
      </c>
      <c r="J425" s="99">
        <f t="shared" si="51"/>
        <v>100</v>
      </c>
    </row>
    <row r="426" spans="1:10" ht="16.5" customHeight="1">
      <c r="A426" s="23" t="s">
        <v>203</v>
      </c>
      <c r="B426" s="58">
        <v>810</v>
      </c>
      <c r="C426" s="57" t="s">
        <v>389</v>
      </c>
      <c r="D426" s="57" t="s">
        <v>381</v>
      </c>
      <c r="E426" s="57" t="s">
        <v>229</v>
      </c>
      <c r="F426" s="53"/>
      <c r="G426" s="6">
        <f t="shared" si="54"/>
        <v>1243</v>
      </c>
      <c r="H426" s="6">
        <f t="shared" si="54"/>
        <v>1243</v>
      </c>
      <c r="I426" s="6">
        <f t="shared" si="54"/>
        <v>1243</v>
      </c>
      <c r="J426" s="99">
        <f t="shared" si="51"/>
        <v>100</v>
      </c>
    </row>
    <row r="427" spans="1:10" ht="16.5" customHeight="1">
      <c r="A427" s="60" t="s">
        <v>419</v>
      </c>
      <c r="B427" s="58">
        <v>810</v>
      </c>
      <c r="C427" s="57" t="s">
        <v>389</v>
      </c>
      <c r="D427" s="57" t="s">
        <v>381</v>
      </c>
      <c r="E427" s="57" t="s">
        <v>229</v>
      </c>
      <c r="F427" s="53" t="s">
        <v>420</v>
      </c>
      <c r="G427" s="6">
        <v>1243</v>
      </c>
      <c r="H427" s="6">
        <v>1243</v>
      </c>
      <c r="I427" s="6">
        <v>1243</v>
      </c>
      <c r="J427" s="99">
        <f t="shared" si="51"/>
        <v>100</v>
      </c>
    </row>
    <row r="428" spans="1:10" ht="12" customHeight="1">
      <c r="A428" s="36"/>
      <c r="B428" s="38"/>
      <c r="C428" s="37"/>
      <c r="D428" s="37"/>
      <c r="E428" s="38"/>
      <c r="F428" s="39"/>
      <c r="G428" s="7"/>
      <c r="H428" s="7"/>
      <c r="I428" s="7"/>
      <c r="J428" s="99"/>
    </row>
    <row r="429" spans="1:10" ht="16.5" customHeight="1">
      <c r="A429" s="31" t="s">
        <v>230</v>
      </c>
      <c r="B429" s="19">
        <v>810</v>
      </c>
      <c r="C429" s="20" t="s">
        <v>389</v>
      </c>
      <c r="D429" s="20" t="s">
        <v>389</v>
      </c>
      <c r="E429" s="19"/>
      <c r="F429" s="21"/>
      <c r="G429" s="6">
        <f>G438+G434+G430</f>
        <v>42767</v>
      </c>
      <c r="H429" s="6">
        <f>H438+H434+H430</f>
        <v>42952</v>
      </c>
      <c r="I429" s="6">
        <f>I438+I434+I430</f>
        <v>39750</v>
      </c>
      <c r="J429" s="99">
        <f t="shared" si="51"/>
        <v>92.54516669770906</v>
      </c>
    </row>
    <row r="430" spans="1:10" ht="16.5" customHeight="1">
      <c r="A430" s="31" t="s">
        <v>371</v>
      </c>
      <c r="B430" s="26" t="s">
        <v>150</v>
      </c>
      <c r="C430" s="26" t="s">
        <v>389</v>
      </c>
      <c r="D430" s="26" t="s">
        <v>389</v>
      </c>
      <c r="E430" s="26" t="s">
        <v>427</v>
      </c>
      <c r="F430" s="28"/>
      <c r="G430" s="6">
        <f aca="true" t="shared" si="55" ref="G430:I432">G431</f>
        <v>0</v>
      </c>
      <c r="H430" s="6">
        <f t="shared" si="55"/>
        <v>185</v>
      </c>
      <c r="I430" s="6">
        <f t="shared" si="55"/>
        <v>131</v>
      </c>
      <c r="J430" s="99">
        <f t="shared" si="51"/>
        <v>70.8108108108108</v>
      </c>
    </row>
    <row r="431" spans="1:10" ht="16.5" customHeight="1">
      <c r="A431" s="8" t="s">
        <v>426</v>
      </c>
      <c r="B431" s="26" t="s">
        <v>150</v>
      </c>
      <c r="C431" s="26" t="s">
        <v>389</v>
      </c>
      <c r="D431" s="26" t="s">
        <v>389</v>
      </c>
      <c r="E431" s="26" t="s">
        <v>428</v>
      </c>
      <c r="F431" s="28"/>
      <c r="G431" s="6">
        <f t="shared" si="55"/>
        <v>0</v>
      </c>
      <c r="H431" s="6">
        <f t="shared" si="55"/>
        <v>185</v>
      </c>
      <c r="I431" s="6">
        <f t="shared" si="55"/>
        <v>131</v>
      </c>
      <c r="J431" s="99">
        <f t="shared" si="51"/>
        <v>70.8108108108108</v>
      </c>
    </row>
    <row r="432" spans="1:10" ht="16.5" customHeight="1">
      <c r="A432" s="67" t="s">
        <v>469</v>
      </c>
      <c r="B432" s="26" t="s">
        <v>150</v>
      </c>
      <c r="C432" s="26" t="s">
        <v>389</v>
      </c>
      <c r="D432" s="26" t="s">
        <v>389</v>
      </c>
      <c r="E432" s="26" t="s">
        <v>311</v>
      </c>
      <c r="F432" s="28"/>
      <c r="G432" s="6">
        <f t="shared" si="55"/>
        <v>0</v>
      </c>
      <c r="H432" s="6">
        <f t="shared" si="55"/>
        <v>185</v>
      </c>
      <c r="I432" s="6">
        <f t="shared" si="55"/>
        <v>131</v>
      </c>
      <c r="J432" s="99">
        <f t="shared" si="51"/>
        <v>70.8108108108108</v>
      </c>
    </row>
    <row r="433" spans="1:10" ht="16.5" customHeight="1">
      <c r="A433" s="60" t="s">
        <v>419</v>
      </c>
      <c r="B433" s="26" t="s">
        <v>150</v>
      </c>
      <c r="C433" s="26" t="s">
        <v>389</v>
      </c>
      <c r="D433" s="26" t="s">
        <v>389</v>
      </c>
      <c r="E433" s="26" t="s">
        <v>312</v>
      </c>
      <c r="F433" s="28" t="s">
        <v>420</v>
      </c>
      <c r="G433" s="6">
        <v>0</v>
      </c>
      <c r="H433" s="6">
        <v>185</v>
      </c>
      <c r="I433" s="6">
        <v>131</v>
      </c>
      <c r="J433" s="99">
        <f t="shared" si="51"/>
        <v>70.8108108108108</v>
      </c>
    </row>
    <row r="434" spans="1:10" ht="16.5" customHeight="1">
      <c r="A434" s="31" t="s">
        <v>219</v>
      </c>
      <c r="B434" s="19">
        <v>810</v>
      </c>
      <c r="C434" s="20" t="s">
        <v>389</v>
      </c>
      <c r="D434" s="20" t="s">
        <v>389</v>
      </c>
      <c r="E434" s="19" t="s">
        <v>548</v>
      </c>
      <c r="F434" s="21"/>
      <c r="G434" s="6">
        <f aca="true" t="shared" si="56" ref="G434:I436">G435</f>
        <v>11037</v>
      </c>
      <c r="H434" s="6">
        <f t="shared" si="56"/>
        <v>11037</v>
      </c>
      <c r="I434" s="6">
        <f t="shared" si="56"/>
        <v>8016</v>
      </c>
      <c r="J434" s="99">
        <f t="shared" si="51"/>
        <v>72.62843163903234</v>
      </c>
    </row>
    <row r="435" spans="1:10" ht="66" customHeight="1">
      <c r="A435" s="31" t="s">
        <v>549</v>
      </c>
      <c r="B435" s="19">
        <v>810</v>
      </c>
      <c r="C435" s="20" t="s">
        <v>389</v>
      </c>
      <c r="D435" s="20" t="s">
        <v>389</v>
      </c>
      <c r="E435" s="19" t="s">
        <v>550</v>
      </c>
      <c r="F435" s="21"/>
      <c r="G435" s="6">
        <f t="shared" si="56"/>
        <v>11037</v>
      </c>
      <c r="H435" s="6">
        <f t="shared" si="56"/>
        <v>11037</v>
      </c>
      <c r="I435" s="6">
        <f t="shared" si="56"/>
        <v>8016</v>
      </c>
      <c r="J435" s="99">
        <f t="shared" si="51"/>
        <v>72.62843163903234</v>
      </c>
    </row>
    <row r="436" spans="1:10" ht="49.5" customHeight="1">
      <c r="A436" s="31" t="s">
        <v>5</v>
      </c>
      <c r="B436" s="19">
        <v>810</v>
      </c>
      <c r="C436" s="20" t="s">
        <v>389</v>
      </c>
      <c r="D436" s="20" t="s">
        <v>389</v>
      </c>
      <c r="E436" s="19" t="s">
        <v>6</v>
      </c>
      <c r="F436" s="21"/>
      <c r="G436" s="6">
        <f t="shared" si="56"/>
        <v>11037</v>
      </c>
      <c r="H436" s="6">
        <f t="shared" si="56"/>
        <v>11037</v>
      </c>
      <c r="I436" s="6">
        <f t="shared" si="56"/>
        <v>8016</v>
      </c>
      <c r="J436" s="99">
        <f t="shared" si="51"/>
        <v>72.62843163903234</v>
      </c>
    </row>
    <row r="437" spans="1:10" ht="16.5" customHeight="1">
      <c r="A437" s="8" t="s">
        <v>232</v>
      </c>
      <c r="B437" s="19">
        <v>810</v>
      </c>
      <c r="C437" s="20" t="s">
        <v>389</v>
      </c>
      <c r="D437" s="20" t="s">
        <v>389</v>
      </c>
      <c r="E437" s="19" t="s">
        <v>6</v>
      </c>
      <c r="F437" s="21" t="s">
        <v>234</v>
      </c>
      <c r="G437" s="6">
        <f>9431+1830-224</f>
        <v>11037</v>
      </c>
      <c r="H437" s="6">
        <f>9431+1830-224</f>
        <v>11037</v>
      </c>
      <c r="I437" s="6">
        <v>8016</v>
      </c>
      <c r="J437" s="99">
        <f t="shared" si="51"/>
        <v>72.62843163903234</v>
      </c>
    </row>
    <row r="438" spans="1:10" ht="32.25" customHeight="1">
      <c r="A438" s="64" t="s">
        <v>531</v>
      </c>
      <c r="B438" s="19">
        <v>810</v>
      </c>
      <c r="C438" s="20" t="s">
        <v>389</v>
      </c>
      <c r="D438" s="20" t="s">
        <v>389</v>
      </c>
      <c r="E438" s="58" t="s">
        <v>532</v>
      </c>
      <c r="F438" s="21"/>
      <c r="G438" s="6">
        <f aca="true" t="shared" si="57" ref="G438:I439">G439</f>
        <v>31730</v>
      </c>
      <c r="H438" s="6">
        <f t="shared" si="57"/>
        <v>31730</v>
      </c>
      <c r="I438" s="6">
        <f t="shared" si="57"/>
        <v>31603</v>
      </c>
      <c r="J438" s="99">
        <f t="shared" si="51"/>
        <v>99.5997478726757</v>
      </c>
    </row>
    <row r="439" spans="1:10" ht="16.5" customHeight="1">
      <c r="A439" s="8" t="s">
        <v>359</v>
      </c>
      <c r="B439" s="19">
        <v>810</v>
      </c>
      <c r="C439" s="20" t="s">
        <v>389</v>
      </c>
      <c r="D439" s="20" t="s">
        <v>389</v>
      </c>
      <c r="E439" s="58" t="s">
        <v>533</v>
      </c>
      <c r="F439" s="21"/>
      <c r="G439" s="6">
        <f t="shared" si="57"/>
        <v>31730</v>
      </c>
      <c r="H439" s="6">
        <f t="shared" si="57"/>
        <v>31730</v>
      </c>
      <c r="I439" s="6">
        <f t="shared" si="57"/>
        <v>31603</v>
      </c>
      <c r="J439" s="99">
        <f t="shared" si="51"/>
        <v>99.5997478726757</v>
      </c>
    </row>
    <row r="440" spans="1:10" ht="16.5" customHeight="1">
      <c r="A440" s="8" t="s">
        <v>232</v>
      </c>
      <c r="B440" s="19">
        <v>810</v>
      </c>
      <c r="C440" s="20" t="s">
        <v>389</v>
      </c>
      <c r="D440" s="20" t="s">
        <v>389</v>
      </c>
      <c r="E440" s="58" t="s">
        <v>533</v>
      </c>
      <c r="F440" s="21" t="s">
        <v>234</v>
      </c>
      <c r="G440" s="6">
        <f>35000-4000+730</f>
        <v>31730</v>
      </c>
      <c r="H440" s="6">
        <f>35000-4000+730</f>
        <v>31730</v>
      </c>
      <c r="I440" s="6">
        <v>31603</v>
      </c>
      <c r="J440" s="99">
        <f t="shared" si="51"/>
        <v>99.5997478726757</v>
      </c>
    </row>
    <row r="441" spans="1:10" ht="12" customHeight="1">
      <c r="A441" s="8"/>
      <c r="B441" s="19"/>
      <c r="C441" s="20"/>
      <c r="D441" s="20"/>
      <c r="E441" s="20"/>
      <c r="F441" s="21"/>
      <c r="G441" s="6"/>
      <c r="H441" s="6"/>
      <c r="I441" s="6"/>
      <c r="J441" s="99"/>
    </row>
    <row r="442" spans="1:10" ht="16.5" customHeight="1">
      <c r="A442" s="65" t="s">
        <v>235</v>
      </c>
      <c r="B442" s="15">
        <v>810</v>
      </c>
      <c r="C442" s="30" t="s">
        <v>383</v>
      </c>
      <c r="D442" s="30"/>
      <c r="E442" s="30"/>
      <c r="F442" s="33"/>
      <c r="G442" s="5">
        <f>G443</f>
        <v>1793</v>
      </c>
      <c r="H442" s="5">
        <f>H443</f>
        <v>1793</v>
      </c>
      <c r="I442" s="5">
        <f>I443</f>
        <v>1793</v>
      </c>
      <c r="J442" s="103">
        <f t="shared" si="51"/>
        <v>100</v>
      </c>
    </row>
    <row r="443" spans="1:10" ht="16.5" customHeight="1">
      <c r="A443" s="31" t="s">
        <v>236</v>
      </c>
      <c r="B443" s="19">
        <v>810</v>
      </c>
      <c r="C443" s="20" t="s">
        <v>383</v>
      </c>
      <c r="D443" s="20" t="s">
        <v>389</v>
      </c>
      <c r="E443" s="20"/>
      <c r="F443" s="21"/>
      <c r="G443" s="6">
        <f>G447+G444</f>
        <v>1793</v>
      </c>
      <c r="H443" s="6">
        <f>H447+H444</f>
        <v>1793</v>
      </c>
      <c r="I443" s="6">
        <f>I447+I444</f>
        <v>1793</v>
      </c>
      <c r="J443" s="99">
        <f t="shared" si="51"/>
        <v>100</v>
      </c>
    </row>
    <row r="444" spans="1:10" ht="16.5" customHeight="1">
      <c r="A444" s="64" t="s">
        <v>7</v>
      </c>
      <c r="B444" s="19">
        <v>810</v>
      </c>
      <c r="C444" s="20" t="s">
        <v>383</v>
      </c>
      <c r="D444" s="20" t="s">
        <v>389</v>
      </c>
      <c r="E444" s="20" t="s">
        <v>9</v>
      </c>
      <c r="F444" s="21"/>
      <c r="G444" s="6">
        <f aca="true" t="shared" si="58" ref="G444:I445">G445</f>
        <v>1793</v>
      </c>
      <c r="H444" s="6">
        <f t="shared" si="58"/>
        <v>1793</v>
      </c>
      <c r="I444" s="6">
        <f t="shared" si="58"/>
        <v>1793</v>
      </c>
      <c r="J444" s="99">
        <f t="shared" si="51"/>
        <v>100</v>
      </c>
    </row>
    <row r="445" spans="1:10" ht="49.5" customHeight="1">
      <c r="A445" s="31" t="s">
        <v>82</v>
      </c>
      <c r="B445" s="27">
        <v>810</v>
      </c>
      <c r="C445" s="26" t="s">
        <v>383</v>
      </c>
      <c r="D445" s="26" t="s">
        <v>389</v>
      </c>
      <c r="E445" s="26" t="s">
        <v>83</v>
      </c>
      <c r="F445" s="28"/>
      <c r="G445" s="10">
        <f t="shared" si="58"/>
        <v>1793</v>
      </c>
      <c r="H445" s="10">
        <f t="shared" si="58"/>
        <v>1793</v>
      </c>
      <c r="I445" s="10">
        <f t="shared" si="58"/>
        <v>1793</v>
      </c>
      <c r="J445" s="99">
        <f t="shared" si="51"/>
        <v>100</v>
      </c>
    </row>
    <row r="446" spans="1:10" ht="16.5" customHeight="1">
      <c r="A446" s="60" t="s">
        <v>565</v>
      </c>
      <c r="B446" s="27">
        <v>810</v>
      </c>
      <c r="C446" s="26" t="s">
        <v>383</v>
      </c>
      <c r="D446" s="26" t="s">
        <v>389</v>
      </c>
      <c r="E446" s="26" t="s">
        <v>83</v>
      </c>
      <c r="F446" s="28" t="s">
        <v>566</v>
      </c>
      <c r="G446" s="10">
        <v>1793</v>
      </c>
      <c r="H446" s="10">
        <v>1793</v>
      </c>
      <c r="I446" s="10">
        <v>1793</v>
      </c>
      <c r="J446" s="99">
        <f t="shared" si="51"/>
        <v>100</v>
      </c>
    </row>
    <row r="447" spans="1:10" ht="16.5" customHeight="1" hidden="1">
      <c r="A447" s="23" t="s">
        <v>199</v>
      </c>
      <c r="B447" s="19">
        <v>810</v>
      </c>
      <c r="C447" s="20" t="s">
        <v>383</v>
      </c>
      <c r="D447" s="20" t="s">
        <v>389</v>
      </c>
      <c r="E447" s="20" t="s">
        <v>417</v>
      </c>
      <c r="F447" s="21"/>
      <c r="G447" s="6">
        <f>G448</f>
        <v>0</v>
      </c>
      <c r="H447" s="6">
        <f>H448</f>
        <v>0</v>
      </c>
      <c r="I447" s="6">
        <f>I448</f>
        <v>0</v>
      </c>
      <c r="J447" s="99" t="e">
        <f t="shared" si="51"/>
        <v>#DIV/0!</v>
      </c>
    </row>
    <row r="448" spans="1:10" ht="33" customHeight="1" hidden="1">
      <c r="A448" s="31" t="s">
        <v>494</v>
      </c>
      <c r="B448" s="19">
        <v>810</v>
      </c>
      <c r="C448" s="20" t="s">
        <v>383</v>
      </c>
      <c r="D448" s="20" t="s">
        <v>389</v>
      </c>
      <c r="E448" s="20" t="s">
        <v>237</v>
      </c>
      <c r="F448" s="21"/>
      <c r="G448" s="6">
        <f>G449+G450</f>
        <v>0</v>
      </c>
      <c r="H448" s="6">
        <f>H449+H450</f>
        <v>0</v>
      </c>
      <c r="I448" s="6">
        <f>I449+I450</f>
        <v>0</v>
      </c>
      <c r="J448" s="99" t="e">
        <f t="shared" si="51"/>
        <v>#DIV/0!</v>
      </c>
    </row>
    <row r="449" spans="1:10" ht="16.5" customHeight="1" hidden="1">
      <c r="A449" s="60" t="s">
        <v>565</v>
      </c>
      <c r="B449" s="19">
        <v>810</v>
      </c>
      <c r="C449" s="20" t="s">
        <v>383</v>
      </c>
      <c r="D449" s="20" t="s">
        <v>389</v>
      </c>
      <c r="E449" s="20" t="s">
        <v>237</v>
      </c>
      <c r="F449" s="21" t="s">
        <v>566</v>
      </c>
      <c r="G449" s="6">
        <f>1206-1206</f>
        <v>0</v>
      </c>
      <c r="H449" s="6">
        <f>1206-1206</f>
        <v>0</v>
      </c>
      <c r="I449" s="6">
        <f>1206-1206</f>
        <v>0</v>
      </c>
      <c r="J449" s="99" t="e">
        <f t="shared" si="51"/>
        <v>#DIV/0!</v>
      </c>
    </row>
    <row r="450" spans="1:10" ht="16.5" customHeight="1" hidden="1">
      <c r="A450" s="60" t="s">
        <v>419</v>
      </c>
      <c r="B450" s="19">
        <v>810</v>
      </c>
      <c r="C450" s="20" t="s">
        <v>383</v>
      </c>
      <c r="D450" s="20" t="s">
        <v>389</v>
      </c>
      <c r="E450" s="20" t="s">
        <v>237</v>
      </c>
      <c r="F450" s="21" t="s">
        <v>420</v>
      </c>
      <c r="G450" s="6">
        <f>1500-1500</f>
        <v>0</v>
      </c>
      <c r="H450" s="6">
        <f>1500-1500</f>
        <v>0</v>
      </c>
      <c r="I450" s="6">
        <f>1500-1500</f>
        <v>0</v>
      </c>
      <c r="J450" s="99" t="e">
        <f t="shared" si="51"/>
        <v>#DIV/0!</v>
      </c>
    </row>
    <row r="451" spans="1:10" ht="12" customHeight="1">
      <c r="A451" s="8"/>
      <c r="B451" s="19"/>
      <c r="C451" s="20"/>
      <c r="D451" s="20"/>
      <c r="E451" s="20"/>
      <c r="F451" s="21"/>
      <c r="G451" s="6"/>
      <c r="H451" s="6"/>
      <c r="I451" s="6"/>
      <c r="J451" s="99"/>
    </row>
    <row r="452" spans="1:10" ht="16.5" customHeight="1">
      <c r="A452" s="62" t="s">
        <v>255</v>
      </c>
      <c r="B452" s="15">
        <v>810</v>
      </c>
      <c r="C452" s="30" t="s">
        <v>387</v>
      </c>
      <c r="D452" s="30"/>
      <c r="E452" s="15"/>
      <c r="F452" s="33"/>
      <c r="G452" s="5">
        <f>G453</f>
        <v>146409</v>
      </c>
      <c r="H452" s="5">
        <f>H453</f>
        <v>141032</v>
      </c>
      <c r="I452" s="5">
        <f>I453</f>
        <v>115453</v>
      </c>
      <c r="J452" s="103">
        <f t="shared" si="51"/>
        <v>81.86298145101821</v>
      </c>
    </row>
    <row r="453" spans="1:10" ht="16.5" customHeight="1">
      <c r="A453" s="31" t="s">
        <v>256</v>
      </c>
      <c r="B453" s="19">
        <v>810</v>
      </c>
      <c r="C453" s="20" t="s">
        <v>387</v>
      </c>
      <c r="D453" s="20" t="s">
        <v>381</v>
      </c>
      <c r="E453" s="19"/>
      <c r="F453" s="21"/>
      <c r="G453" s="6">
        <f>G457+G484+G454+G478</f>
        <v>146409</v>
      </c>
      <c r="H453" s="6">
        <f>H457+H484+H454+H478</f>
        <v>141032</v>
      </c>
      <c r="I453" s="6">
        <f>I457+I484+I454+I478</f>
        <v>115453</v>
      </c>
      <c r="J453" s="99">
        <f t="shared" si="51"/>
        <v>81.86298145101821</v>
      </c>
    </row>
    <row r="454" spans="1:10" ht="16.5" customHeight="1">
      <c r="A454" s="31" t="s">
        <v>541</v>
      </c>
      <c r="B454" s="19">
        <v>810</v>
      </c>
      <c r="C454" s="20" t="s">
        <v>387</v>
      </c>
      <c r="D454" s="20" t="s">
        <v>381</v>
      </c>
      <c r="E454" s="19" t="s">
        <v>85</v>
      </c>
      <c r="F454" s="21"/>
      <c r="G454" s="6">
        <f aca="true" t="shared" si="59" ref="G454:I455">G455</f>
        <v>8943</v>
      </c>
      <c r="H454" s="6">
        <f t="shared" si="59"/>
        <v>9003</v>
      </c>
      <c r="I454" s="6">
        <f t="shared" si="59"/>
        <v>6614</v>
      </c>
      <c r="J454" s="99">
        <f t="shared" si="51"/>
        <v>73.46440075530379</v>
      </c>
    </row>
    <row r="455" spans="1:10" ht="16.5" customHeight="1">
      <c r="A455" s="31" t="s">
        <v>84</v>
      </c>
      <c r="B455" s="19">
        <v>810</v>
      </c>
      <c r="C455" s="20" t="s">
        <v>387</v>
      </c>
      <c r="D455" s="20" t="s">
        <v>381</v>
      </c>
      <c r="E455" s="19" t="s">
        <v>86</v>
      </c>
      <c r="F455" s="21"/>
      <c r="G455" s="6">
        <f t="shared" si="59"/>
        <v>8943</v>
      </c>
      <c r="H455" s="6">
        <f t="shared" si="59"/>
        <v>9003</v>
      </c>
      <c r="I455" s="6">
        <f t="shared" si="59"/>
        <v>6614</v>
      </c>
      <c r="J455" s="99">
        <f t="shared" si="51"/>
        <v>73.46440075530379</v>
      </c>
    </row>
    <row r="456" spans="1:10" ht="16.5" customHeight="1">
      <c r="A456" s="31" t="s">
        <v>580</v>
      </c>
      <c r="B456" s="19">
        <v>810</v>
      </c>
      <c r="C456" s="20" t="s">
        <v>387</v>
      </c>
      <c r="D456" s="20" t="s">
        <v>381</v>
      </c>
      <c r="E456" s="19" t="s">
        <v>86</v>
      </c>
      <c r="F456" s="21" t="s">
        <v>581</v>
      </c>
      <c r="G456" s="6">
        <f>3035+5908</f>
        <v>8943</v>
      </c>
      <c r="H456" s="6">
        <v>9003</v>
      </c>
      <c r="I456" s="6">
        <v>6614</v>
      </c>
      <c r="J456" s="99">
        <f t="shared" si="51"/>
        <v>73.46440075530379</v>
      </c>
    </row>
    <row r="457" spans="1:10" ht="16.5" customHeight="1">
      <c r="A457" s="59" t="s">
        <v>257</v>
      </c>
      <c r="B457" s="58">
        <v>810</v>
      </c>
      <c r="C457" s="57" t="s">
        <v>387</v>
      </c>
      <c r="D457" s="57" t="s">
        <v>381</v>
      </c>
      <c r="E457" s="58" t="s">
        <v>259</v>
      </c>
      <c r="F457" s="21"/>
      <c r="G457" s="6">
        <f>G475+G458+G463+G470+G468</f>
        <v>126115</v>
      </c>
      <c r="H457" s="6">
        <f>H475+H458+H463+H470+H468</f>
        <v>116903</v>
      </c>
      <c r="I457" s="6">
        <f>I475+I458+I463+I470+I468</f>
        <v>101024</v>
      </c>
      <c r="J457" s="99">
        <f t="shared" si="51"/>
        <v>86.41694396208823</v>
      </c>
    </row>
    <row r="458" spans="1:10" ht="49.5" customHeight="1">
      <c r="A458" s="8" t="s">
        <v>670</v>
      </c>
      <c r="B458" s="58">
        <v>810</v>
      </c>
      <c r="C458" s="57" t="s">
        <v>387</v>
      </c>
      <c r="D458" s="57" t="s">
        <v>381</v>
      </c>
      <c r="E458" s="58" t="s">
        <v>671</v>
      </c>
      <c r="F458" s="21"/>
      <c r="G458" s="6">
        <f>G459+G461</f>
        <v>23291</v>
      </c>
      <c r="H458" s="6">
        <f>H459+H461</f>
        <v>25594</v>
      </c>
      <c r="I458" s="6">
        <f>I459+I461</f>
        <v>10300</v>
      </c>
      <c r="J458" s="99">
        <f t="shared" si="51"/>
        <v>40.24380714229898</v>
      </c>
    </row>
    <row r="459" spans="1:10" ht="66" customHeight="1">
      <c r="A459" s="8" t="s">
        <v>152</v>
      </c>
      <c r="B459" s="58">
        <v>810</v>
      </c>
      <c r="C459" s="20" t="s">
        <v>387</v>
      </c>
      <c r="D459" s="20" t="s">
        <v>381</v>
      </c>
      <c r="E459" s="19" t="s">
        <v>157</v>
      </c>
      <c r="F459" s="21"/>
      <c r="G459" s="85">
        <f>G460</f>
        <v>16969</v>
      </c>
      <c r="H459" s="85">
        <f>H460</f>
        <v>16969</v>
      </c>
      <c r="I459" s="85">
        <f>I460</f>
        <v>3978</v>
      </c>
      <c r="J459" s="99">
        <f t="shared" si="51"/>
        <v>23.442748541457952</v>
      </c>
    </row>
    <row r="460" spans="1:10" ht="16.5" customHeight="1">
      <c r="A460" s="31" t="s">
        <v>258</v>
      </c>
      <c r="B460" s="58">
        <v>810</v>
      </c>
      <c r="C460" s="20" t="s">
        <v>387</v>
      </c>
      <c r="D460" s="20" t="s">
        <v>381</v>
      </c>
      <c r="E460" s="19" t="s">
        <v>157</v>
      </c>
      <c r="F460" s="21" t="s">
        <v>363</v>
      </c>
      <c r="G460" s="85">
        <f>11370+5599</f>
        <v>16969</v>
      </c>
      <c r="H460" s="85">
        <f>11370+5599</f>
        <v>16969</v>
      </c>
      <c r="I460" s="85">
        <v>3978</v>
      </c>
      <c r="J460" s="99">
        <f t="shared" si="51"/>
        <v>23.442748541457952</v>
      </c>
    </row>
    <row r="461" spans="1:10" ht="66" customHeight="1">
      <c r="A461" s="8" t="s">
        <v>156</v>
      </c>
      <c r="B461" s="58">
        <v>810</v>
      </c>
      <c r="C461" s="20" t="s">
        <v>387</v>
      </c>
      <c r="D461" s="20" t="s">
        <v>381</v>
      </c>
      <c r="E461" s="19" t="s">
        <v>158</v>
      </c>
      <c r="F461" s="21"/>
      <c r="G461" s="85">
        <f>G462</f>
        <v>6322</v>
      </c>
      <c r="H461" s="85">
        <f>H462</f>
        <v>8625</v>
      </c>
      <c r="I461" s="85">
        <f>I462</f>
        <v>6322</v>
      </c>
      <c r="J461" s="99">
        <f aca="true" t="shared" si="60" ref="J461:J524">I461/H461*100</f>
        <v>73.29855072463768</v>
      </c>
    </row>
    <row r="462" spans="1:10" ht="16.5" customHeight="1">
      <c r="A462" s="31" t="s">
        <v>258</v>
      </c>
      <c r="B462" s="58">
        <v>810</v>
      </c>
      <c r="C462" s="20" t="s">
        <v>387</v>
      </c>
      <c r="D462" s="20" t="s">
        <v>381</v>
      </c>
      <c r="E462" s="19" t="s">
        <v>158</v>
      </c>
      <c r="F462" s="21" t="s">
        <v>363</v>
      </c>
      <c r="G462" s="85">
        <v>6322</v>
      </c>
      <c r="H462" s="85">
        <v>8625</v>
      </c>
      <c r="I462" s="85">
        <v>6322</v>
      </c>
      <c r="J462" s="99">
        <f t="shared" si="60"/>
        <v>73.29855072463768</v>
      </c>
    </row>
    <row r="463" spans="1:10" ht="79.5" customHeight="1">
      <c r="A463" s="77" t="s">
        <v>107</v>
      </c>
      <c r="B463" s="58">
        <v>810</v>
      </c>
      <c r="C463" s="57" t="s">
        <v>387</v>
      </c>
      <c r="D463" s="54" t="s">
        <v>381</v>
      </c>
      <c r="E463" s="55" t="s">
        <v>1</v>
      </c>
      <c r="F463" s="21"/>
      <c r="G463" s="6">
        <f>G464+G466</f>
        <v>24927</v>
      </c>
      <c r="H463" s="6">
        <f>H464+H466</f>
        <v>24927</v>
      </c>
      <c r="I463" s="6">
        <f>I464+I466</f>
        <v>24828</v>
      </c>
      <c r="J463" s="99">
        <f t="shared" si="60"/>
        <v>99.60284029365748</v>
      </c>
    </row>
    <row r="464" spans="1:10" ht="66" customHeight="1">
      <c r="A464" s="66" t="s">
        <v>108</v>
      </c>
      <c r="B464" s="58">
        <v>810</v>
      </c>
      <c r="C464" s="57" t="s">
        <v>387</v>
      </c>
      <c r="D464" s="54" t="s">
        <v>381</v>
      </c>
      <c r="E464" s="55" t="s">
        <v>2</v>
      </c>
      <c r="F464" s="21"/>
      <c r="G464" s="6">
        <f>G465</f>
        <v>8627</v>
      </c>
      <c r="H464" s="6">
        <f>H465</f>
        <v>8627</v>
      </c>
      <c r="I464" s="6">
        <f>I465</f>
        <v>8627</v>
      </c>
      <c r="J464" s="99">
        <f t="shared" si="60"/>
        <v>100</v>
      </c>
    </row>
    <row r="465" spans="1:10" ht="16.5" customHeight="1">
      <c r="A465" s="59" t="s">
        <v>258</v>
      </c>
      <c r="B465" s="58">
        <v>810</v>
      </c>
      <c r="C465" s="57" t="s">
        <v>387</v>
      </c>
      <c r="D465" s="54" t="s">
        <v>381</v>
      </c>
      <c r="E465" s="55" t="s">
        <v>2</v>
      </c>
      <c r="F465" s="21" t="s">
        <v>363</v>
      </c>
      <c r="G465" s="6">
        <f>11457+2898-5728</f>
        <v>8627</v>
      </c>
      <c r="H465" s="6">
        <f>11457+2898-5728</f>
        <v>8627</v>
      </c>
      <c r="I465" s="6">
        <f>11457+2898-5728</f>
        <v>8627</v>
      </c>
      <c r="J465" s="99">
        <f t="shared" si="60"/>
        <v>100</v>
      </c>
    </row>
    <row r="466" spans="1:10" ht="49.5" customHeight="1">
      <c r="A466" s="66" t="s">
        <v>109</v>
      </c>
      <c r="B466" s="58">
        <v>810</v>
      </c>
      <c r="C466" s="54" t="s">
        <v>387</v>
      </c>
      <c r="D466" s="54" t="s">
        <v>381</v>
      </c>
      <c r="E466" s="55" t="s">
        <v>3</v>
      </c>
      <c r="F466" s="21"/>
      <c r="G466" s="6">
        <f>G467</f>
        <v>16300</v>
      </c>
      <c r="H466" s="6">
        <f>H467</f>
        <v>16300</v>
      </c>
      <c r="I466" s="6">
        <f>I467</f>
        <v>16201</v>
      </c>
      <c r="J466" s="99">
        <f t="shared" si="60"/>
        <v>99.39263803680981</v>
      </c>
    </row>
    <row r="467" spans="1:10" ht="16.5" customHeight="1">
      <c r="A467" s="59" t="s">
        <v>258</v>
      </c>
      <c r="B467" s="58">
        <v>810</v>
      </c>
      <c r="C467" s="57" t="s">
        <v>387</v>
      </c>
      <c r="D467" s="57" t="s">
        <v>381</v>
      </c>
      <c r="E467" s="58" t="s">
        <v>3</v>
      </c>
      <c r="F467" s="53" t="s">
        <v>363</v>
      </c>
      <c r="G467" s="6">
        <f>15909+391</f>
        <v>16300</v>
      </c>
      <c r="H467" s="6">
        <f>15909+391</f>
        <v>16300</v>
      </c>
      <c r="I467" s="6">
        <v>16201</v>
      </c>
      <c r="J467" s="99">
        <f t="shared" si="60"/>
        <v>99.39263803680981</v>
      </c>
    </row>
    <row r="468" spans="1:10" ht="79.5" customHeight="1">
      <c r="A468" s="66" t="s">
        <v>250</v>
      </c>
      <c r="B468" s="58">
        <v>810</v>
      </c>
      <c r="C468" s="57" t="s">
        <v>387</v>
      </c>
      <c r="D468" s="57" t="s">
        <v>381</v>
      </c>
      <c r="E468" s="58" t="s">
        <v>249</v>
      </c>
      <c r="F468" s="53"/>
      <c r="G468" s="6">
        <f>G469</f>
        <v>1666</v>
      </c>
      <c r="H468" s="6">
        <f>H469</f>
        <v>1666</v>
      </c>
      <c r="I468" s="6">
        <f>I469</f>
        <v>1665</v>
      </c>
      <c r="J468" s="99">
        <f t="shared" si="60"/>
        <v>99.93997599039616</v>
      </c>
    </row>
    <row r="469" spans="1:10" ht="16.5" customHeight="1">
      <c r="A469" s="59" t="s">
        <v>258</v>
      </c>
      <c r="B469" s="58">
        <v>810</v>
      </c>
      <c r="C469" s="57" t="s">
        <v>387</v>
      </c>
      <c r="D469" s="57" t="s">
        <v>381</v>
      </c>
      <c r="E469" s="58" t="s">
        <v>249</v>
      </c>
      <c r="F469" s="53" t="s">
        <v>363</v>
      </c>
      <c r="G469" s="6">
        <v>1666</v>
      </c>
      <c r="H469" s="6">
        <v>1666</v>
      </c>
      <c r="I469" s="6">
        <v>1665</v>
      </c>
      <c r="J469" s="99">
        <f t="shared" si="60"/>
        <v>99.93997599039616</v>
      </c>
    </row>
    <row r="470" spans="1:10" ht="32.25" customHeight="1">
      <c r="A470" s="59" t="s">
        <v>0</v>
      </c>
      <c r="B470" s="58">
        <v>810</v>
      </c>
      <c r="C470" s="57" t="s">
        <v>387</v>
      </c>
      <c r="D470" s="57" t="s">
        <v>381</v>
      </c>
      <c r="E470" s="58" t="s">
        <v>4</v>
      </c>
      <c r="F470" s="53"/>
      <c r="G470" s="6">
        <f>G471+G473</f>
        <v>75931</v>
      </c>
      <c r="H470" s="6">
        <f>H471+H473</f>
        <v>64416</v>
      </c>
      <c r="I470" s="6">
        <f>I471+I473</f>
        <v>64019</v>
      </c>
      <c r="J470" s="99">
        <f t="shared" si="60"/>
        <v>99.38369349230005</v>
      </c>
    </row>
    <row r="471" spans="1:10" ht="32.25" customHeight="1">
      <c r="A471" s="59" t="s">
        <v>159</v>
      </c>
      <c r="B471" s="58">
        <v>810</v>
      </c>
      <c r="C471" s="57" t="s">
        <v>387</v>
      </c>
      <c r="D471" s="57" t="s">
        <v>381</v>
      </c>
      <c r="E471" s="58" t="s">
        <v>183</v>
      </c>
      <c r="F471" s="53"/>
      <c r="G471" s="85">
        <f>G472</f>
        <v>43014</v>
      </c>
      <c r="H471" s="85">
        <f>H472</f>
        <v>31499</v>
      </c>
      <c r="I471" s="85">
        <f>I472</f>
        <v>31102</v>
      </c>
      <c r="J471" s="99">
        <f t="shared" si="60"/>
        <v>98.73964252833424</v>
      </c>
    </row>
    <row r="472" spans="1:10" ht="16.5" customHeight="1">
      <c r="A472" s="59" t="s">
        <v>258</v>
      </c>
      <c r="B472" s="58">
        <v>810</v>
      </c>
      <c r="C472" s="57" t="s">
        <v>387</v>
      </c>
      <c r="D472" s="57" t="s">
        <v>381</v>
      </c>
      <c r="E472" s="58" t="s">
        <v>183</v>
      </c>
      <c r="F472" s="53" t="s">
        <v>363</v>
      </c>
      <c r="G472" s="85">
        <f>70643+64-20596-5696-1401</f>
        <v>43014</v>
      </c>
      <c r="H472" s="85">
        <v>31499</v>
      </c>
      <c r="I472" s="85">
        <v>31102</v>
      </c>
      <c r="J472" s="99">
        <f t="shared" si="60"/>
        <v>98.73964252833424</v>
      </c>
    </row>
    <row r="473" spans="1:10" ht="49.5" customHeight="1">
      <c r="A473" s="59" t="s">
        <v>182</v>
      </c>
      <c r="B473" s="58">
        <v>810</v>
      </c>
      <c r="C473" s="57" t="s">
        <v>387</v>
      </c>
      <c r="D473" s="57" t="s">
        <v>381</v>
      </c>
      <c r="E473" s="58" t="s">
        <v>184</v>
      </c>
      <c r="F473" s="53"/>
      <c r="G473" s="85">
        <f>G474</f>
        <v>32917</v>
      </c>
      <c r="H473" s="85">
        <f>H474</f>
        <v>32917</v>
      </c>
      <c r="I473" s="85">
        <f>I474</f>
        <v>32917</v>
      </c>
      <c r="J473" s="99">
        <f t="shared" si="60"/>
        <v>100</v>
      </c>
    </row>
    <row r="474" spans="1:10" ht="16.5" customHeight="1">
      <c r="A474" s="59" t="s">
        <v>258</v>
      </c>
      <c r="B474" s="58">
        <v>810</v>
      </c>
      <c r="C474" s="57" t="s">
        <v>387</v>
      </c>
      <c r="D474" s="57" t="s">
        <v>381</v>
      </c>
      <c r="E474" s="58" t="s">
        <v>184</v>
      </c>
      <c r="F474" s="53" t="s">
        <v>363</v>
      </c>
      <c r="G474" s="85">
        <f>27216+5+5696</f>
        <v>32917</v>
      </c>
      <c r="H474" s="85">
        <f>27216+5+5696</f>
        <v>32917</v>
      </c>
      <c r="I474" s="85">
        <f>27216+5+5696</f>
        <v>32917</v>
      </c>
      <c r="J474" s="99">
        <f t="shared" si="60"/>
        <v>100</v>
      </c>
    </row>
    <row r="475" spans="1:10" ht="33" customHeight="1">
      <c r="A475" s="31" t="s">
        <v>260</v>
      </c>
      <c r="B475" s="19">
        <v>810</v>
      </c>
      <c r="C475" s="20" t="s">
        <v>387</v>
      </c>
      <c r="D475" s="20" t="s">
        <v>381</v>
      </c>
      <c r="E475" s="19" t="s">
        <v>261</v>
      </c>
      <c r="F475" s="21"/>
      <c r="G475" s="6">
        <f aca="true" t="shared" si="61" ref="G475:I476">G476</f>
        <v>300</v>
      </c>
      <c r="H475" s="6">
        <f t="shared" si="61"/>
        <v>300</v>
      </c>
      <c r="I475" s="6">
        <f t="shared" si="61"/>
        <v>212</v>
      </c>
      <c r="J475" s="99">
        <f t="shared" si="60"/>
        <v>70.66666666666667</v>
      </c>
    </row>
    <row r="476" spans="1:10" ht="32.25" customHeight="1">
      <c r="A476" s="31" t="s">
        <v>464</v>
      </c>
      <c r="B476" s="19">
        <v>810</v>
      </c>
      <c r="C476" s="20" t="s">
        <v>387</v>
      </c>
      <c r="D476" s="20" t="s">
        <v>381</v>
      </c>
      <c r="E476" s="19" t="s">
        <v>262</v>
      </c>
      <c r="F476" s="21"/>
      <c r="G476" s="6">
        <f t="shared" si="61"/>
        <v>300</v>
      </c>
      <c r="H476" s="6">
        <f t="shared" si="61"/>
        <v>300</v>
      </c>
      <c r="I476" s="6">
        <f t="shared" si="61"/>
        <v>212</v>
      </c>
      <c r="J476" s="99">
        <f t="shared" si="60"/>
        <v>70.66666666666667</v>
      </c>
    </row>
    <row r="477" spans="1:10" ht="16.5" customHeight="1">
      <c r="A477" s="31" t="s">
        <v>258</v>
      </c>
      <c r="B477" s="27">
        <v>810</v>
      </c>
      <c r="C477" s="20" t="s">
        <v>387</v>
      </c>
      <c r="D477" s="20" t="s">
        <v>381</v>
      </c>
      <c r="E477" s="19" t="s">
        <v>262</v>
      </c>
      <c r="F477" s="21" t="s">
        <v>363</v>
      </c>
      <c r="G477" s="6">
        <v>300</v>
      </c>
      <c r="H477" s="6">
        <v>300</v>
      </c>
      <c r="I477" s="6">
        <v>212</v>
      </c>
      <c r="J477" s="99">
        <f t="shared" si="60"/>
        <v>70.66666666666667</v>
      </c>
    </row>
    <row r="478" spans="1:10" ht="16.5" customHeight="1">
      <c r="A478" s="31" t="s">
        <v>7</v>
      </c>
      <c r="B478" s="27">
        <v>810</v>
      </c>
      <c r="C478" s="20" t="s">
        <v>387</v>
      </c>
      <c r="D478" s="20" t="s">
        <v>381</v>
      </c>
      <c r="E478" s="19" t="s">
        <v>9</v>
      </c>
      <c r="F478" s="21"/>
      <c r="G478" s="6">
        <f>G481+G479</f>
        <v>6351</v>
      </c>
      <c r="H478" s="6">
        <f>H481+H479</f>
        <v>10126</v>
      </c>
      <c r="I478" s="6">
        <f>I481+I479</f>
        <v>4583</v>
      </c>
      <c r="J478" s="99">
        <f t="shared" si="60"/>
        <v>45.25972743432747</v>
      </c>
    </row>
    <row r="479" spans="1:10" ht="32.25" customHeight="1">
      <c r="A479" s="64" t="s">
        <v>542</v>
      </c>
      <c r="B479" s="27">
        <v>810</v>
      </c>
      <c r="C479" s="20" t="s">
        <v>387</v>
      </c>
      <c r="D479" s="20" t="s">
        <v>381</v>
      </c>
      <c r="E479" s="19" t="s">
        <v>543</v>
      </c>
      <c r="F479" s="21"/>
      <c r="G479" s="85">
        <f>G480</f>
        <v>4414</v>
      </c>
      <c r="H479" s="85">
        <f>H480</f>
        <v>8189</v>
      </c>
      <c r="I479" s="85">
        <f>I480</f>
        <v>2646</v>
      </c>
      <c r="J479" s="99">
        <f t="shared" si="60"/>
        <v>32.311637562583954</v>
      </c>
    </row>
    <row r="480" spans="1:10" ht="16.5" customHeight="1">
      <c r="A480" s="31" t="s">
        <v>580</v>
      </c>
      <c r="B480" s="27">
        <v>810</v>
      </c>
      <c r="C480" s="20" t="s">
        <v>387</v>
      </c>
      <c r="D480" s="20" t="s">
        <v>381</v>
      </c>
      <c r="E480" s="19" t="s">
        <v>543</v>
      </c>
      <c r="F480" s="21" t="s">
        <v>581</v>
      </c>
      <c r="G480" s="85">
        <f>4414</f>
        <v>4414</v>
      </c>
      <c r="H480" s="85">
        <v>8189</v>
      </c>
      <c r="I480" s="85">
        <v>2646</v>
      </c>
      <c r="J480" s="99">
        <f t="shared" si="60"/>
        <v>32.311637562583954</v>
      </c>
    </row>
    <row r="481" spans="1:10" ht="49.5" customHeight="1">
      <c r="A481" s="31" t="s">
        <v>87</v>
      </c>
      <c r="B481" s="27">
        <v>810</v>
      </c>
      <c r="C481" s="20" t="s">
        <v>387</v>
      </c>
      <c r="D481" s="20" t="s">
        <v>381</v>
      </c>
      <c r="E481" s="19" t="s">
        <v>88</v>
      </c>
      <c r="F481" s="21"/>
      <c r="G481" s="6">
        <f aca="true" t="shared" si="62" ref="G481:I482">G482</f>
        <v>1937</v>
      </c>
      <c r="H481" s="6">
        <f t="shared" si="62"/>
        <v>1937</v>
      </c>
      <c r="I481" s="6">
        <f t="shared" si="62"/>
        <v>1937</v>
      </c>
      <c r="J481" s="99">
        <f t="shared" si="60"/>
        <v>100</v>
      </c>
    </row>
    <row r="482" spans="1:10" ht="16.5" customHeight="1">
      <c r="A482" s="31" t="s">
        <v>89</v>
      </c>
      <c r="B482" s="27">
        <v>810</v>
      </c>
      <c r="C482" s="20" t="s">
        <v>387</v>
      </c>
      <c r="D482" s="20" t="s">
        <v>381</v>
      </c>
      <c r="E482" s="19" t="s">
        <v>90</v>
      </c>
      <c r="F482" s="21"/>
      <c r="G482" s="6">
        <f t="shared" si="62"/>
        <v>1937</v>
      </c>
      <c r="H482" s="6">
        <f t="shared" si="62"/>
        <v>1937</v>
      </c>
      <c r="I482" s="6">
        <f t="shared" si="62"/>
        <v>1937</v>
      </c>
      <c r="J482" s="99">
        <f t="shared" si="60"/>
        <v>100</v>
      </c>
    </row>
    <row r="483" spans="1:10" ht="16.5" customHeight="1">
      <c r="A483" s="31" t="s">
        <v>580</v>
      </c>
      <c r="B483" s="27">
        <v>810</v>
      </c>
      <c r="C483" s="20" t="s">
        <v>387</v>
      </c>
      <c r="D483" s="20" t="s">
        <v>381</v>
      </c>
      <c r="E483" s="19" t="s">
        <v>90</v>
      </c>
      <c r="F483" s="21" t="s">
        <v>581</v>
      </c>
      <c r="G483" s="6">
        <v>1937</v>
      </c>
      <c r="H483" s="6">
        <v>1937</v>
      </c>
      <c r="I483" s="6">
        <v>1937</v>
      </c>
      <c r="J483" s="99">
        <f t="shared" si="60"/>
        <v>100</v>
      </c>
    </row>
    <row r="484" spans="1:10" ht="16.5" customHeight="1">
      <c r="A484" s="23" t="s">
        <v>199</v>
      </c>
      <c r="B484" s="19">
        <v>810</v>
      </c>
      <c r="C484" s="20" t="s">
        <v>387</v>
      </c>
      <c r="D484" s="20" t="s">
        <v>381</v>
      </c>
      <c r="E484" s="20" t="s">
        <v>417</v>
      </c>
      <c r="F484" s="21"/>
      <c r="G484" s="6">
        <f aca="true" t="shared" si="63" ref="G484:I485">G485</f>
        <v>5000</v>
      </c>
      <c r="H484" s="6">
        <f t="shared" si="63"/>
        <v>5000</v>
      </c>
      <c r="I484" s="6">
        <f t="shared" si="63"/>
        <v>3232</v>
      </c>
      <c r="J484" s="99">
        <f t="shared" si="60"/>
        <v>64.64</v>
      </c>
    </row>
    <row r="485" spans="1:10" ht="32.25" customHeight="1">
      <c r="A485" s="23" t="s">
        <v>579</v>
      </c>
      <c r="B485" s="27">
        <v>810</v>
      </c>
      <c r="C485" s="26" t="s">
        <v>387</v>
      </c>
      <c r="D485" s="26" t="s">
        <v>381</v>
      </c>
      <c r="E485" s="27" t="s">
        <v>263</v>
      </c>
      <c r="F485" s="28"/>
      <c r="G485" s="6">
        <f t="shared" si="63"/>
        <v>5000</v>
      </c>
      <c r="H485" s="6">
        <f t="shared" si="63"/>
        <v>5000</v>
      </c>
      <c r="I485" s="6">
        <f t="shared" si="63"/>
        <v>3232</v>
      </c>
      <c r="J485" s="99">
        <f t="shared" si="60"/>
        <v>64.64</v>
      </c>
    </row>
    <row r="486" spans="1:10" ht="16.5" customHeight="1">
      <c r="A486" s="31" t="s">
        <v>580</v>
      </c>
      <c r="B486" s="27">
        <v>810</v>
      </c>
      <c r="C486" s="26" t="s">
        <v>387</v>
      </c>
      <c r="D486" s="26" t="s">
        <v>381</v>
      </c>
      <c r="E486" s="27" t="s">
        <v>263</v>
      </c>
      <c r="F486" s="28" t="s">
        <v>581</v>
      </c>
      <c r="G486" s="6">
        <v>5000</v>
      </c>
      <c r="H486" s="6">
        <v>5000</v>
      </c>
      <c r="I486" s="6">
        <v>3232</v>
      </c>
      <c r="J486" s="99">
        <f t="shared" si="60"/>
        <v>64.64</v>
      </c>
    </row>
    <row r="487" spans="1:10" ht="12" customHeight="1">
      <c r="A487" s="31"/>
      <c r="B487" s="27"/>
      <c r="C487" s="26"/>
      <c r="D487" s="26"/>
      <c r="E487" s="27"/>
      <c r="F487" s="28"/>
      <c r="G487" s="6"/>
      <c r="H487" s="6"/>
      <c r="I487" s="6"/>
      <c r="J487" s="99"/>
    </row>
    <row r="488" spans="1:10" ht="16.5" customHeight="1">
      <c r="A488" s="24" t="s">
        <v>478</v>
      </c>
      <c r="B488" s="73">
        <v>811</v>
      </c>
      <c r="C488" s="57"/>
      <c r="D488" s="57"/>
      <c r="E488" s="55"/>
      <c r="F488" s="53"/>
      <c r="G488" s="5">
        <f>G496+G521+G625+G631+G691+G727+G489</f>
        <v>1461689</v>
      </c>
      <c r="H488" s="5">
        <f>H496+H521+H625+H631+H691+H727+H489</f>
        <v>1469435</v>
      </c>
      <c r="I488" s="5">
        <f>I496+I521+I625+I631+I691+I727+I489</f>
        <v>1294000</v>
      </c>
      <c r="J488" s="103">
        <f t="shared" si="60"/>
        <v>88.06105748127682</v>
      </c>
    </row>
    <row r="489" spans="1:10" ht="16.5" customHeight="1">
      <c r="A489" s="62" t="s">
        <v>425</v>
      </c>
      <c r="B489" s="15">
        <v>811</v>
      </c>
      <c r="C489" s="16" t="s">
        <v>379</v>
      </c>
      <c r="D489" s="16"/>
      <c r="E489" s="17"/>
      <c r="F489" s="18"/>
      <c r="G489" s="5">
        <f aca="true" t="shared" si="64" ref="G489:I493">G490</f>
        <v>0</v>
      </c>
      <c r="H489" s="5">
        <f t="shared" si="64"/>
        <v>300</v>
      </c>
      <c r="I489" s="5">
        <f t="shared" si="64"/>
        <v>300</v>
      </c>
      <c r="J489" s="103">
        <f t="shared" si="60"/>
        <v>100</v>
      </c>
    </row>
    <row r="490" spans="1:10" ht="16.5" customHeight="1">
      <c r="A490" s="31" t="s">
        <v>313</v>
      </c>
      <c r="B490" s="19">
        <v>811</v>
      </c>
      <c r="C490" s="20" t="s">
        <v>379</v>
      </c>
      <c r="D490" s="20" t="s">
        <v>314</v>
      </c>
      <c r="E490" s="19"/>
      <c r="F490" s="21"/>
      <c r="G490" s="6">
        <f t="shared" si="64"/>
        <v>0</v>
      </c>
      <c r="H490" s="6">
        <f t="shared" si="64"/>
        <v>300</v>
      </c>
      <c r="I490" s="6">
        <f t="shared" si="64"/>
        <v>300</v>
      </c>
      <c r="J490" s="99">
        <f t="shared" si="60"/>
        <v>100</v>
      </c>
    </row>
    <row r="491" spans="1:10" ht="16.5" customHeight="1">
      <c r="A491" s="31" t="s">
        <v>371</v>
      </c>
      <c r="B491" s="26" t="s">
        <v>482</v>
      </c>
      <c r="C491" s="26" t="s">
        <v>379</v>
      </c>
      <c r="D491" s="26" t="s">
        <v>314</v>
      </c>
      <c r="E491" s="26" t="s">
        <v>427</v>
      </c>
      <c r="F491" s="28"/>
      <c r="G491" s="6">
        <f t="shared" si="64"/>
        <v>0</v>
      </c>
      <c r="H491" s="6">
        <f t="shared" si="64"/>
        <v>300</v>
      </c>
      <c r="I491" s="6">
        <f t="shared" si="64"/>
        <v>300</v>
      </c>
      <c r="J491" s="99">
        <f t="shared" si="60"/>
        <v>100</v>
      </c>
    </row>
    <row r="492" spans="1:10" ht="16.5" customHeight="1">
      <c r="A492" s="8" t="s">
        <v>426</v>
      </c>
      <c r="B492" s="26" t="s">
        <v>482</v>
      </c>
      <c r="C492" s="26" t="s">
        <v>379</v>
      </c>
      <c r="D492" s="26" t="s">
        <v>314</v>
      </c>
      <c r="E492" s="26" t="s">
        <v>428</v>
      </c>
      <c r="F492" s="28"/>
      <c r="G492" s="6">
        <f t="shared" si="64"/>
        <v>0</v>
      </c>
      <c r="H492" s="6">
        <f t="shared" si="64"/>
        <v>300</v>
      </c>
      <c r="I492" s="6">
        <f t="shared" si="64"/>
        <v>300</v>
      </c>
      <c r="J492" s="99">
        <f t="shared" si="60"/>
        <v>100</v>
      </c>
    </row>
    <row r="493" spans="1:10" ht="16.5" customHeight="1">
      <c r="A493" s="67" t="s">
        <v>469</v>
      </c>
      <c r="B493" s="26" t="s">
        <v>482</v>
      </c>
      <c r="C493" s="26" t="s">
        <v>379</v>
      </c>
      <c r="D493" s="26" t="s">
        <v>314</v>
      </c>
      <c r="E493" s="26" t="s">
        <v>311</v>
      </c>
      <c r="F493" s="28"/>
      <c r="G493" s="6">
        <f t="shared" si="64"/>
        <v>0</v>
      </c>
      <c r="H493" s="6">
        <f t="shared" si="64"/>
        <v>300</v>
      </c>
      <c r="I493" s="6">
        <f t="shared" si="64"/>
        <v>300</v>
      </c>
      <c r="J493" s="99">
        <f t="shared" si="60"/>
        <v>100</v>
      </c>
    </row>
    <row r="494" spans="1:10" ht="16.5" customHeight="1">
      <c r="A494" s="67" t="s">
        <v>429</v>
      </c>
      <c r="B494" s="26" t="s">
        <v>482</v>
      </c>
      <c r="C494" s="26" t="s">
        <v>379</v>
      </c>
      <c r="D494" s="26" t="s">
        <v>314</v>
      </c>
      <c r="E494" s="26" t="s">
        <v>312</v>
      </c>
      <c r="F494" s="28" t="s">
        <v>430</v>
      </c>
      <c r="G494" s="6">
        <v>0</v>
      </c>
      <c r="H494" s="6">
        <v>300</v>
      </c>
      <c r="I494" s="6">
        <v>300</v>
      </c>
      <c r="J494" s="99">
        <f t="shared" si="60"/>
        <v>100</v>
      </c>
    </row>
    <row r="495" spans="1:10" ht="12" customHeight="1">
      <c r="A495" s="24"/>
      <c r="B495" s="73"/>
      <c r="C495" s="57"/>
      <c r="D495" s="57"/>
      <c r="E495" s="55"/>
      <c r="F495" s="53"/>
      <c r="G495" s="5"/>
      <c r="H495" s="5"/>
      <c r="I495" s="5"/>
      <c r="J495" s="99"/>
    </row>
    <row r="496" spans="1:10" ht="16.5" customHeight="1">
      <c r="A496" s="62" t="s">
        <v>421</v>
      </c>
      <c r="B496" s="72" t="s">
        <v>482</v>
      </c>
      <c r="C496" s="72" t="s">
        <v>382</v>
      </c>
      <c r="D496" s="57"/>
      <c r="E496" s="55"/>
      <c r="F496" s="53"/>
      <c r="G496" s="5">
        <f>G497+G505+G511</f>
        <v>97496</v>
      </c>
      <c r="H496" s="5">
        <f>H497+H505+H511</f>
        <v>97496</v>
      </c>
      <c r="I496" s="5">
        <f>I497+I505+I511</f>
        <v>94950</v>
      </c>
      <c r="J496" s="103">
        <f t="shared" si="60"/>
        <v>97.38861081480266</v>
      </c>
    </row>
    <row r="497" spans="1:10" ht="16.5" customHeight="1">
      <c r="A497" s="23" t="s">
        <v>587</v>
      </c>
      <c r="B497" s="57" t="s">
        <v>482</v>
      </c>
      <c r="C497" s="57" t="s">
        <v>382</v>
      </c>
      <c r="D497" s="57" t="s">
        <v>380</v>
      </c>
      <c r="E497" s="58"/>
      <c r="F497" s="53"/>
      <c r="G497" s="6">
        <f>G501+G498</f>
        <v>13500</v>
      </c>
      <c r="H497" s="6">
        <f>H501+H498</f>
        <v>13500</v>
      </c>
      <c r="I497" s="6">
        <f>I501+I498</f>
        <v>10954</v>
      </c>
      <c r="J497" s="99">
        <f t="shared" si="60"/>
        <v>81.14074074074074</v>
      </c>
    </row>
    <row r="498" spans="1:10" ht="15.75" customHeight="1" hidden="1">
      <c r="A498" s="31" t="s">
        <v>7</v>
      </c>
      <c r="B498" s="57" t="s">
        <v>482</v>
      </c>
      <c r="C498" s="20" t="s">
        <v>382</v>
      </c>
      <c r="D498" s="20" t="s">
        <v>380</v>
      </c>
      <c r="E498" s="19" t="s">
        <v>9</v>
      </c>
      <c r="F498" s="21"/>
      <c r="G498" s="6">
        <f aca="true" t="shared" si="65" ref="G498:I499">G499</f>
        <v>0</v>
      </c>
      <c r="H498" s="6">
        <f t="shared" si="65"/>
        <v>0</v>
      </c>
      <c r="I498" s="6">
        <f t="shared" si="65"/>
        <v>0</v>
      </c>
      <c r="J498" s="99" t="e">
        <f t="shared" si="60"/>
        <v>#DIV/0!</v>
      </c>
    </row>
    <row r="499" spans="1:10" ht="33" customHeight="1" hidden="1">
      <c r="A499" s="23" t="s">
        <v>37</v>
      </c>
      <c r="B499" s="57" t="s">
        <v>482</v>
      </c>
      <c r="C499" s="20" t="s">
        <v>382</v>
      </c>
      <c r="D499" s="20" t="s">
        <v>380</v>
      </c>
      <c r="E499" s="19" t="s">
        <v>38</v>
      </c>
      <c r="F499" s="21"/>
      <c r="G499" s="6">
        <f t="shared" si="65"/>
        <v>0</v>
      </c>
      <c r="H499" s="6">
        <f t="shared" si="65"/>
        <v>0</v>
      </c>
      <c r="I499" s="6">
        <f t="shared" si="65"/>
        <v>0</v>
      </c>
      <c r="J499" s="99" t="e">
        <f t="shared" si="60"/>
        <v>#DIV/0!</v>
      </c>
    </row>
    <row r="500" spans="1:10" ht="15.75" customHeight="1" hidden="1">
      <c r="A500" s="31" t="s">
        <v>209</v>
      </c>
      <c r="B500" s="57" t="s">
        <v>482</v>
      </c>
      <c r="C500" s="20" t="s">
        <v>382</v>
      </c>
      <c r="D500" s="20" t="s">
        <v>380</v>
      </c>
      <c r="E500" s="19" t="s">
        <v>38</v>
      </c>
      <c r="F500" s="21" t="s">
        <v>212</v>
      </c>
      <c r="G500" s="6">
        <f>11000-11000</f>
        <v>0</v>
      </c>
      <c r="H500" s="6">
        <f>11000-11000</f>
        <v>0</v>
      </c>
      <c r="I500" s="6">
        <f>11000-11000</f>
        <v>0</v>
      </c>
      <c r="J500" s="99" t="e">
        <f t="shared" si="60"/>
        <v>#DIV/0!</v>
      </c>
    </row>
    <row r="501" spans="1:10" ht="16.5" customHeight="1">
      <c r="A501" s="23" t="s">
        <v>199</v>
      </c>
      <c r="B501" s="57" t="s">
        <v>482</v>
      </c>
      <c r="C501" s="57" t="s">
        <v>382</v>
      </c>
      <c r="D501" s="57" t="s">
        <v>380</v>
      </c>
      <c r="E501" s="58" t="s">
        <v>417</v>
      </c>
      <c r="F501" s="53"/>
      <c r="G501" s="6">
        <f aca="true" t="shared" si="66" ref="G501:I502">G502</f>
        <v>13500</v>
      </c>
      <c r="H501" s="6">
        <f t="shared" si="66"/>
        <v>13500</v>
      </c>
      <c r="I501" s="6">
        <f t="shared" si="66"/>
        <v>10954</v>
      </c>
      <c r="J501" s="99">
        <f t="shared" si="60"/>
        <v>81.14074074074074</v>
      </c>
    </row>
    <row r="502" spans="1:10" ht="49.5" customHeight="1">
      <c r="A502" s="23" t="s">
        <v>632</v>
      </c>
      <c r="B502" s="57" t="s">
        <v>482</v>
      </c>
      <c r="C502" s="57" t="s">
        <v>382</v>
      </c>
      <c r="D502" s="57" t="s">
        <v>380</v>
      </c>
      <c r="E502" s="58" t="s">
        <v>484</v>
      </c>
      <c r="F502" s="53"/>
      <c r="G502" s="6">
        <f t="shared" si="66"/>
        <v>13500</v>
      </c>
      <c r="H502" s="6">
        <f t="shared" si="66"/>
        <v>13500</v>
      </c>
      <c r="I502" s="6">
        <f t="shared" si="66"/>
        <v>10954</v>
      </c>
      <c r="J502" s="99">
        <f t="shared" si="60"/>
        <v>81.14074074074074</v>
      </c>
    </row>
    <row r="503" spans="1:10" ht="16.5" customHeight="1">
      <c r="A503" s="31" t="s">
        <v>209</v>
      </c>
      <c r="B503" s="58">
        <v>811</v>
      </c>
      <c r="C503" s="57" t="s">
        <v>382</v>
      </c>
      <c r="D503" s="57" t="s">
        <v>380</v>
      </c>
      <c r="E503" s="58" t="s">
        <v>484</v>
      </c>
      <c r="F503" s="53" t="s">
        <v>212</v>
      </c>
      <c r="G503" s="6">
        <v>13500</v>
      </c>
      <c r="H503" s="6">
        <v>13500</v>
      </c>
      <c r="I503" s="6">
        <v>10954</v>
      </c>
      <c r="J503" s="99">
        <f t="shared" si="60"/>
        <v>81.14074074074074</v>
      </c>
    </row>
    <row r="504" spans="1:10" ht="12" customHeight="1">
      <c r="A504" s="31"/>
      <c r="B504" s="58"/>
      <c r="C504" s="57"/>
      <c r="D504" s="57"/>
      <c r="E504" s="58"/>
      <c r="F504" s="53"/>
      <c r="G504" s="6"/>
      <c r="H504" s="6"/>
      <c r="I504" s="6"/>
      <c r="J504" s="99"/>
    </row>
    <row r="505" spans="1:10" ht="16.5" customHeight="1">
      <c r="A505" s="31" t="s">
        <v>424</v>
      </c>
      <c r="B505" s="58">
        <v>811</v>
      </c>
      <c r="C505" s="57" t="s">
        <v>382</v>
      </c>
      <c r="D505" s="57" t="s">
        <v>388</v>
      </c>
      <c r="E505" s="58"/>
      <c r="F505" s="53"/>
      <c r="G505" s="6">
        <f aca="true" t="shared" si="67" ref="G505:I508">G506</f>
        <v>254</v>
      </c>
      <c r="H505" s="6">
        <f t="shared" si="67"/>
        <v>254</v>
      </c>
      <c r="I505" s="6">
        <f t="shared" si="67"/>
        <v>254</v>
      </c>
      <c r="J505" s="99">
        <f t="shared" si="60"/>
        <v>100</v>
      </c>
    </row>
    <row r="506" spans="1:10" ht="32.25" customHeight="1">
      <c r="A506" s="31" t="s">
        <v>218</v>
      </c>
      <c r="B506" s="58">
        <v>811</v>
      </c>
      <c r="C506" s="57" t="s">
        <v>382</v>
      </c>
      <c r="D506" s="57" t="s">
        <v>388</v>
      </c>
      <c r="E506" s="27" t="s">
        <v>220</v>
      </c>
      <c r="F506" s="28"/>
      <c r="G506" s="6">
        <f t="shared" si="67"/>
        <v>254</v>
      </c>
      <c r="H506" s="6">
        <f t="shared" si="67"/>
        <v>254</v>
      </c>
      <c r="I506" s="6">
        <f t="shared" si="67"/>
        <v>254</v>
      </c>
      <c r="J506" s="99">
        <f t="shared" si="60"/>
        <v>100</v>
      </c>
    </row>
    <row r="507" spans="1:10" ht="66" customHeight="1">
      <c r="A507" s="70" t="s">
        <v>472</v>
      </c>
      <c r="B507" s="58">
        <v>811</v>
      </c>
      <c r="C507" s="57" t="s">
        <v>382</v>
      </c>
      <c r="D507" s="57" t="s">
        <v>388</v>
      </c>
      <c r="E507" s="27" t="s">
        <v>474</v>
      </c>
      <c r="F507" s="28"/>
      <c r="G507" s="6">
        <f t="shared" si="67"/>
        <v>254</v>
      </c>
      <c r="H507" s="6">
        <f t="shared" si="67"/>
        <v>254</v>
      </c>
      <c r="I507" s="6">
        <f t="shared" si="67"/>
        <v>254</v>
      </c>
      <c r="J507" s="99">
        <f t="shared" si="60"/>
        <v>100</v>
      </c>
    </row>
    <row r="508" spans="1:10" ht="32.25" customHeight="1">
      <c r="A508" s="60" t="s">
        <v>473</v>
      </c>
      <c r="B508" s="58">
        <v>811</v>
      </c>
      <c r="C508" s="57" t="s">
        <v>382</v>
      </c>
      <c r="D508" s="57" t="s">
        <v>388</v>
      </c>
      <c r="E508" s="27" t="s">
        <v>475</v>
      </c>
      <c r="F508" s="28"/>
      <c r="G508" s="6">
        <f t="shared" si="67"/>
        <v>254</v>
      </c>
      <c r="H508" s="6">
        <f t="shared" si="67"/>
        <v>254</v>
      </c>
      <c r="I508" s="6">
        <f t="shared" si="67"/>
        <v>254</v>
      </c>
      <c r="J508" s="99">
        <f t="shared" si="60"/>
        <v>100</v>
      </c>
    </row>
    <row r="509" spans="1:10" ht="16.5" customHeight="1">
      <c r="A509" s="31" t="s">
        <v>209</v>
      </c>
      <c r="B509" s="58">
        <v>811</v>
      </c>
      <c r="C509" s="57" t="s">
        <v>382</v>
      </c>
      <c r="D509" s="57" t="s">
        <v>388</v>
      </c>
      <c r="E509" s="27" t="s">
        <v>475</v>
      </c>
      <c r="F509" s="28" t="s">
        <v>212</v>
      </c>
      <c r="G509" s="6">
        <f>1720-1466</f>
        <v>254</v>
      </c>
      <c r="H509" s="6">
        <f>1720-1466</f>
        <v>254</v>
      </c>
      <c r="I509" s="6">
        <f>1720-1466</f>
        <v>254</v>
      </c>
      <c r="J509" s="99">
        <f t="shared" si="60"/>
        <v>100</v>
      </c>
    </row>
    <row r="510" spans="1:10" ht="12" customHeight="1">
      <c r="A510" s="31"/>
      <c r="B510" s="58"/>
      <c r="C510" s="57"/>
      <c r="D510" s="57"/>
      <c r="E510" s="27"/>
      <c r="F510" s="28"/>
      <c r="G510" s="6"/>
      <c r="H510" s="6"/>
      <c r="I510" s="6"/>
      <c r="J510" s="99"/>
    </row>
    <row r="511" spans="1:10" ht="16.5" customHeight="1">
      <c r="A511" s="60" t="s">
        <v>164</v>
      </c>
      <c r="B511" s="58">
        <v>811</v>
      </c>
      <c r="C511" s="57" t="s">
        <v>382</v>
      </c>
      <c r="D511" s="57" t="s">
        <v>386</v>
      </c>
      <c r="E511" s="58"/>
      <c r="F511" s="53"/>
      <c r="G511" s="6">
        <f>G512</f>
        <v>83742</v>
      </c>
      <c r="H511" s="6">
        <f>H512</f>
        <v>83742</v>
      </c>
      <c r="I511" s="6">
        <f>I512</f>
        <v>83742</v>
      </c>
      <c r="J511" s="99">
        <f t="shared" si="60"/>
        <v>100</v>
      </c>
    </row>
    <row r="512" spans="1:10" ht="16.5" customHeight="1">
      <c r="A512" s="90" t="s">
        <v>165</v>
      </c>
      <c r="B512" s="58">
        <v>811</v>
      </c>
      <c r="C512" s="57" t="s">
        <v>382</v>
      </c>
      <c r="D512" s="54" t="s">
        <v>386</v>
      </c>
      <c r="E512" s="27" t="s">
        <v>170</v>
      </c>
      <c r="F512" s="28"/>
      <c r="G512" s="6">
        <f>G513+G517</f>
        <v>83742</v>
      </c>
      <c r="H512" s="6">
        <f>H513+H517</f>
        <v>83742</v>
      </c>
      <c r="I512" s="6">
        <f>I513+I517</f>
        <v>83742</v>
      </c>
      <c r="J512" s="99">
        <f t="shared" si="60"/>
        <v>100</v>
      </c>
    </row>
    <row r="513" spans="1:10" ht="16.5" customHeight="1">
      <c r="A513" s="31" t="s">
        <v>166</v>
      </c>
      <c r="B513" s="58">
        <v>811</v>
      </c>
      <c r="C513" s="57" t="s">
        <v>382</v>
      </c>
      <c r="D513" s="54" t="s">
        <v>386</v>
      </c>
      <c r="E513" s="27" t="s">
        <v>171</v>
      </c>
      <c r="F513" s="28"/>
      <c r="G513" s="6">
        <f>G514</f>
        <v>83670</v>
      </c>
      <c r="H513" s="6">
        <f>H514</f>
        <v>83670</v>
      </c>
      <c r="I513" s="6">
        <f>I514</f>
        <v>83670</v>
      </c>
      <c r="J513" s="99">
        <f t="shared" si="60"/>
        <v>100</v>
      </c>
    </row>
    <row r="514" spans="1:10" ht="49.5" customHeight="1">
      <c r="A514" s="31" t="s">
        <v>167</v>
      </c>
      <c r="B514" s="58">
        <v>811</v>
      </c>
      <c r="C514" s="57" t="s">
        <v>382</v>
      </c>
      <c r="D514" s="54" t="s">
        <v>386</v>
      </c>
      <c r="E514" s="27" t="s">
        <v>172</v>
      </c>
      <c r="F514" s="28"/>
      <c r="G514" s="6">
        <f>G515+G516</f>
        <v>83670</v>
      </c>
      <c r="H514" s="6">
        <f>H515+H516</f>
        <v>83670</v>
      </c>
      <c r="I514" s="6">
        <f>I515+I516</f>
        <v>83670</v>
      </c>
      <c r="J514" s="99">
        <f t="shared" si="60"/>
        <v>100</v>
      </c>
    </row>
    <row r="515" spans="1:10" ht="16.5" customHeight="1">
      <c r="A515" s="31" t="s">
        <v>168</v>
      </c>
      <c r="B515" s="58">
        <v>811</v>
      </c>
      <c r="C515" s="57" t="s">
        <v>382</v>
      </c>
      <c r="D515" s="54" t="s">
        <v>386</v>
      </c>
      <c r="E515" s="27" t="s">
        <v>172</v>
      </c>
      <c r="F515" s="28" t="s">
        <v>212</v>
      </c>
      <c r="G515" s="6">
        <v>54509</v>
      </c>
      <c r="H515" s="6">
        <v>54509</v>
      </c>
      <c r="I515" s="6">
        <v>54509</v>
      </c>
      <c r="J515" s="99">
        <f t="shared" si="60"/>
        <v>100</v>
      </c>
    </row>
    <row r="516" spans="1:10" ht="16.5" customHeight="1">
      <c r="A516" s="31" t="s">
        <v>169</v>
      </c>
      <c r="B516" s="58">
        <v>811</v>
      </c>
      <c r="C516" s="57" t="s">
        <v>382</v>
      </c>
      <c r="D516" s="54" t="s">
        <v>386</v>
      </c>
      <c r="E516" s="27" t="s">
        <v>172</v>
      </c>
      <c r="F516" s="28" t="s">
        <v>420</v>
      </c>
      <c r="G516" s="6">
        <v>29161</v>
      </c>
      <c r="H516" s="6">
        <v>29161</v>
      </c>
      <c r="I516" s="6">
        <v>29161</v>
      </c>
      <c r="J516" s="99">
        <f t="shared" si="60"/>
        <v>100</v>
      </c>
    </row>
    <row r="517" spans="1:10" ht="16.5" customHeight="1">
      <c r="A517" s="31" t="s">
        <v>538</v>
      </c>
      <c r="B517" s="58">
        <v>811</v>
      </c>
      <c r="C517" s="57" t="s">
        <v>382</v>
      </c>
      <c r="D517" s="54" t="s">
        <v>386</v>
      </c>
      <c r="E517" s="27" t="s">
        <v>539</v>
      </c>
      <c r="F517" s="28"/>
      <c r="G517" s="9">
        <f aca="true" t="shared" si="68" ref="G517:I518">G518</f>
        <v>72</v>
      </c>
      <c r="H517" s="9">
        <f t="shared" si="68"/>
        <v>72</v>
      </c>
      <c r="I517" s="9">
        <f t="shared" si="68"/>
        <v>72</v>
      </c>
      <c r="J517" s="99">
        <f t="shared" si="60"/>
        <v>100</v>
      </c>
    </row>
    <row r="518" spans="1:10" ht="16.5" customHeight="1">
      <c r="A518" s="31" t="s">
        <v>99</v>
      </c>
      <c r="B518" s="58">
        <v>811</v>
      </c>
      <c r="C518" s="57" t="s">
        <v>382</v>
      </c>
      <c r="D518" s="54" t="s">
        <v>386</v>
      </c>
      <c r="E518" s="27" t="s">
        <v>540</v>
      </c>
      <c r="F518" s="28"/>
      <c r="G518" s="9">
        <f t="shared" si="68"/>
        <v>72</v>
      </c>
      <c r="H518" s="9">
        <f t="shared" si="68"/>
        <v>72</v>
      </c>
      <c r="I518" s="9">
        <f t="shared" si="68"/>
        <v>72</v>
      </c>
      <c r="J518" s="99">
        <f t="shared" si="60"/>
        <v>100</v>
      </c>
    </row>
    <row r="519" spans="1:10" ht="16.5" customHeight="1">
      <c r="A519" s="60" t="s">
        <v>419</v>
      </c>
      <c r="B519" s="58">
        <v>811</v>
      </c>
      <c r="C519" s="57" t="s">
        <v>382</v>
      </c>
      <c r="D519" s="54" t="s">
        <v>386</v>
      </c>
      <c r="E519" s="27" t="s">
        <v>540</v>
      </c>
      <c r="F519" s="28" t="s">
        <v>420</v>
      </c>
      <c r="G519" s="9">
        <v>72</v>
      </c>
      <c r="H519" s="9">
        <v>72</v>
      </c>
      <c r="I519" s="9">
        <v>72</v>
      </c>
      <c r="J519" s="99">
        <f t="shared" si="60"/>
        <v>100</v>
      </c>
    </row>
    <row r="520" spans="1:10" ht="12" customHeight="1">
      <c r="A520" s="23"/>
      <c r="B520" s="58"/>
      <c r="C520" s="57"/>
      <c r="D520" s="57"/>
      <c r="E520" s="58"/>
      <c r="F520" s="53"/>
      <c r="G520" s="6"/>
      <c r="H520" s="6"/>
      <c r="I520" s="6"/>
      <c r="J520" s="99"/>
    </row>
    <row r="521" spans="1:10" ht="16.5" customHeight="1">
      <c r="A521" s="62" t="s">
        <v>206</v>
      </c>
      <c r="B521" s="73">
        <v>811</v>
      </c>
      <c r="C521" s="72" t="s">
        <v>389</v>
      </c>
      <c r="D521" s="72"/>
      <c r="E521" s="73"/>
      <c r="F521" s="74"/>
      <c r="G521" s="5">
        <f>G522+G556+G590</f>
        <v>1093767</v>
      </c>
      <c r="H521" s="5">
        <f>H522+H556+H590</f>
        <v>1099957</v>
      </c>
      <c r="I521" s="5">
        <f>I522+I556+I590</f>
        <v>933463</v>
      </c>
      <c r="J521" s="103">
        <f t="shared" si="60"/>
        <v>84.86359012215931</v>
      </c>
    </row>
    <row r="522" spans="1:10" ht="16.5" customHeight="1">
      <c r="A522" s="31" t="s">
        <v>207</v>
      </c>
      <c r="B522" s="58">
        <v>811</v>
      </c>
      <c r="C522" s="57" t="s">
        <v>389</v>
      </c>
      <c r="D522" s="57" t="s">
        <v>379</v>
      </c>
      <c r="E522" s="58"/>
      <c r="F522" s="53"/>
      <c r="G522" s="6">
        <f>G548+G530+G542+G538+G523</f>
        <v>267478</v>
      </c>
      <c r="H522" s="6">
        <f>H548+H530+H542+H538+H523</f>
        <v>271271</v>
      </c>
      <c r="I522" s="6">
        <f>I548+I530+I542+I538+I523</f>
        <v>117425</v>
      </c>
      <c r="J522" s="99">
        <f t="shared" si="60"/>
        <v>43.28697133125177</v>
      </c>
    </row>
    <row r="523" spans="1:10" ht="16.5" customHeight="1">
      <c r="A523" s="60" t="s">
        <v>371</v>
      </c>
      <c r="B523" s="58">
        <v>811</v>
      </c>
      <c r="C523" s="20" t="s">
        <v>389</v>
      </c>
      <c r="D523" s="20" t="s">
        <v>379</v>
      </c>
      <c r="E523" s="19" t="s">
        <v>174</v>
      </c>
      <c r="F523" s="21"/>
      <c r="G523" s="6">
        <f>G524+G527</f>
        <v>100</v>
      </c>
      <c r="H523" s="6">
        <f>H524+H527</f>
        <v>3893</v>
      </c>
      <c r="I523" s="6">
        <f>I524+I527</f>
        <v>3658</v>
      </c>
      <c r="J523" s="99">
        <f t="shared" si="60"/>
        <v>93.96352427433857</v>
      </c>
    </row>
    <row r="524" spans="1:10" ht="32.25" customHeight="1">
      <c r="A524" s="91" t="s">
        <v>173</v>
      </c>
      <c r="B524" s="58">
        <v>811</v>
      </c>
      <c r="C524" s="20" t="s">
        <v>389</v>
      </c>
      <c r="D524" s="20" t="s">
        <v>379</v>
      </c>
      <c r="E524" s="19" t="s">
        <v>175</v>
      </c>
      <c r="F524" s="21"/>
      <c r="G524" s="6">
        <f aca="true" t="shared" si="69" ref="G524:I525">G525</f>
        <v>100</v>
      </c>
      <c r="H524" s="6">
        <f t="shared" si="69"/>
        <v>100</v>
      </c>
      <c r="I524" s="6">
        <f t="shared" si="69"/>
        <v>100</v>
      </c>
      <c r="J524" s="99">
        <f t="shared" si="60"/>
        <v>100</v>
      </c>
    </row>
    <row r="525" spans="1:10" ht="32.25" customHeight="1">
      <c r="A525" s="91" t="s">
        <v>173</v>
      </c>
      <c r="B525" s="58">
        <v>811</v>
      </c>
      <c r="C525" s="20" t="s">
        <v>389</v>
      </c>
      <c r="D525" s="20" t="s">
        <v>379</v>
      </c>
      <c r="E525" s="19" t="s">
        <v>176</v>
      </c>
      <c r="F525" s="21"/>
      <c r="G525" s="6">
        <f t="shared" si="69"/>
        <v>100</v>
      </c>
      <c r="H525" s="6">
        <f t="shared" si="69"/>
        <v>100</v>
      </c>
      <c r="I525" s="6">
        <f t="shared" si="69"/>
        <v>100</v>
      </c>
      <c r="J525" s="99">
        <f aca="true" t="shared" si="70" ref="J525:J588">I525/H525*100</f>
        <v>100</v>
      </c>
    </row>
    <row r="526" spans="1:10" ht="16.5" customHeight="1">
      <c r="A526" s="60" t="s">
        <v>419</v>
      </c>
      <c r="B526" s="58">
        <v>811</v>
      </c>
      <c r="C526" s="20" t="s">
        <v>389</v>
      </c>
      <c r="D526" s="20" t="s">
        <v>379</v>
      </c>
      <c r="E526" s="19" t="s">
        <v>176</v>
      </c>
      <c r="F526" s="21" t="s">
        <v>420</v>
      </c>
      <c r="G526" s="6">
        <v>100</v>
      </c>
      <c r="H526" s="6">
        <v>100</v>
      </c>
      <c r="I526" s="6">
        <v>100</v>
      </c>
      <c r="J526" s="99">
        <f t="shared" si="70"/>
        <v>100</v>
      </c>
    </row>
    <row r="527" spans="1:10" ht="16.5" customHeight="1">
      <c r="A527" s="8" t="s">
        <v>426</v>
      </c>
      <c r="B527" s="26" t="s">
        <v>482</v>
      </c>
      <c r="C527" s="26" t="s">
        <v>389</v>
      </c>
      <c r="D527" s="26" t="s">
        <v>379</v>
      </c>
      <c r="E527" s="26" t="s">
        <v>428</v>
      </c>
      <c r="F527" s="28"/>
      <c r="G527" s="6">
        <f aca="true" t="shared" si="71" ref="G527:I528">G528</f>
        <v>0</v>
      </c>
      <c r="H527" s="6">
        <f t="shared" si="71"/>
        <v>3793</v>
      </c>
      <c r="I527" s="6">
        <f t="shared" si="71"/>
        <v>3558</v>
      </c>
      <c r="J527" s="99">
        <f t="shared" si="70"/>
        <v>93.80437648299498</v>
      </c>
    </row>
    <row r="528" spans="1:10" ht="16.5" customHeight="1">
      <c r="A528" s="67" t="s">
        <v>469</v>
      </c>
      <c r="B528" s="26" t="s">
        <v>482</v>
      </c>
      <c r="C528" s="26" t="s">
        <v>389</v>
      </c>
      <c r="D528" s="26" t="s">
        <v>379</v>
      </c>
      <c r="E528" s="26" t="s">
        <v>311</v>
      </c>
      <c r="F528" s="28"/>
      <c r="G528" s="6">
        <f t="shared" si="71"/>
        <v>0</v>
      </c>
      <c r="H528" s="6">
        <f t="shared" si="71"/>
        <v>3793</v>
      </c>
      <c r="I528" s="6">
        <f t="shared" si="71"/>
        <v>3558</v>
      </c>
      <c r="J528" s="99">
        <f t="shared" si="70"/>
        <v>93.80437648299498</v>
      </c>
    </row>
    <row r="529" spans="1:10" ht="16.5" customHeight="1">
      <c r="A529" s="60" t="s">
        <v>419</v>
      </c>
      <c r="B529" s="26" t="s">
        <v>482</v>
      </c>
      <c r="C529" s="26" t="s">
        <v>389</v>
      </c>
      <c r="D529" s="26" t="s">
        <v>379</v>
      </c>
      <c r="E529" s="26" t="s">
        <v>312</v>
      </c>
      <c r="F529" s="28" t="s">
        <v>420</v>
      </c>
      <c r="G529" s="6">
        <v>0</v>
      </c>
      <c r="H529" s="6">
        <v>3793</v>
      </c>
      <c r="I529" s="6">
        <v>3558</v>
      </c>
      <c r="J529" s="99">
        <f t="shared" si="70"/>
        <v>93.80437648299498</v>
      </c>
    </row>
    <row r="530" spans="1:10" ht="49.5" customHeight="1">
      <c r="A530" s="31" t="s">
        <v>15</v>
      </c>
      <c r="B530" s="58">
        <v>811</v>
      </c>
      <c r="C530" s="20" t="s">
        <v>389</v>
      </c>
      <c r="D530" s="20" t="s">
        <v>379</v>
      </c>
      <c r="E530" s="19" t="s">
        <v>18</v>
      </c>
      <c r="F530" s="21"/>
      <c r="G530" s="6">
        <f>G534+G531</f>
        <v>224595</v>
      </c>
      <c r="H530" s="6">
        <f>H534+H531</f>
        <v>224595</v>
      </c>
      <c r="I530" s="6">
        <f>I534+I531</f>
        <v>83208</v>
      </c>
      <c r="J530" s="99">
        <f t="shared" si="70"/>
        <v>37.048019768917385</v>
      </c>
    </row>
    <row r="531" spans="1:10" ht="79.5" customHeight="1">
      <c r="A531" s="31" t="s">
        <v>71</v>
      </c>
      <c r="B531" s="58">
        <v>811</v>
      </c>
      <c r="C531" s="20" t="s">
        <v>389</v>
      </c>
      <c r="D531" s="20" t="s">
        <v>379</v>
      </c>
      <c r="E531" s="19" t="s">
        <v>72</v>
      </c>
      <c r="F531" s="21"/>
      <c r="G531" s="6">
        <f aca="true" t="shared" si="72" ref="G531:I532">G532</f>
        <v>198922</v>
      </c>
      <c r="H531" s="6">
        <f t="shared" si="72"/>
        <v>198922</v>
      </c>
      <c r="I531" s="6">
        <f t="shared" si="72"/>
        <v>67691</v>
      </c>
      <c r="J531" s="99">
        <f t="shared" si="70"/>
        <v>34.028915856466355</v>
      </c>
    </row>
    <row r="532" spans="1:10" ht="32.25" customHeight="1">
      <c r="A532" s="31" t="s">
        <v>91</v>
      </c>
      <c r="B532" s="58">
        <v>811</v>
      </c>
      <c r="C532" s="20" t="s">
        <v>389</v>
      </c>
      <c r="D532" s="20" t="s">
        <v>379</v>
      </c>
      <c r="E532" s="19" t="s">
        <v>92</v>
      </c>
      <c r="F532" s="21"/>
      <c r="G532" s="6">
        <f t="shared" si="72"/>
        <v>198922</v>
      </c>
      <c r="H532" s="6">
        <f t="shared" si="72"/>
        <v>198922</v>
      </c>
      <c r="I532" s="6">
        <f t="shared" si="72"/>
        <v>67691</v>
      </c>
      <c r="J532" s="99">
        <f t="shared" si="70"/>
        <v>34.028915856466355</v>
      </c>
    </row>
    <row r="533" spans="1:10" ht="16.5" customHeight="1">
      <c r="A533" s="31" t="s">
        <v>209</v>
      </c>
      <c r="B533" s="58">
        <v>811</v>
      </c>
      <c r="C533" s="20" t="s">
        <v>389</v>
      </c>
      <c r="D533" s="20" t="s">
        <v>379</v>
      </c>
      <c r="E533" s="19" t="s">
        <v>92</v>
      </c>
      <c r="F533" s="21" t="s">
        <v>212</v>
      </c>
      <c r="G533" s="6">
        <f>198922+466408-466408</f>
        <v>198922</v>
      </c>
      <c r="H533" s="6">
        <f>198922+466408-466408</f>
        <v>198922</v>
      </c>
      <c r="I533" s="6">
        <v>67691</v>
      </c>
      <c r="J533" s="99">
        <f t="shared" si="70"/>
        <v>34.028915856466355</v>
      </c>
    </row>
    <row r="534" spans="1:10" ht="49.5" customHeight="1">
      <c r="A534" s="31" t="s">
        <v>16</v>
      </c>
      <c r="B534" s="58">
        <v>811</v>
      </c>
      <c r="C534" s="20" t="s">
        <v>389</v>
      </c>
      <c r="D534" s="20" t="s">
        <v>379</v>
      </c>
      <c r="E534" s="19" t="s">
        <v>19</v>
      </c>
      <c r="F534" s="21"/>
      <c r="G534" s="6">
        <f>G535</f>
        <v>25673</v>
      </c>
      <c r="H534" s="6">
        <f>H535</f>
        <v>25673</v>
      </c>
      <c r="I534" s="6">
        <f>I535</f>
        <v>15517</v>
      </c>
      <c r="J534" s="99">
        <f t="shared" si="70"/>
        <v>60.44093016009037</v>
      </c>
    </row>
    <row r="535" spans="1:10" ht="32.25" customHeight="1">
      <c r="A535" s="31" t="s">
        <v>17</v>
      </c>
      <c r="B535" s="58">
        <v>811</v>
      </c>
      <c r="C535" s="20" t="s">
        <v>389</v>
      </c>
      <c r="D535" s="20" t="s">
        <v>379</v>
      </c>
      <c r="E535" s="19" t="s">
        <v>20</v>
      </c>
      <c r="F535" s="21"/>
      <c r="G535" s="6">
        <f>G536+G537</f>
        <v>25673</v>
      </c>
      <c r="H535" s="6">
        <f>H536+H537</f>
        <v>25673</v>
      </c>
      <c r="I535" s="6">
        <f>I536+I537</f>
        <v>15517</v>
      </c>
      <c r="J535" s="99">
        <f t="shared" si="70"/>
        <v>60.44093016009037</v>
      </c>
    </row>
    <row r="536" spans="1:10" ht="16.5" customHeight="1">
      <c r="A536" s="59" t="s">
        <v>209</v>
      </c>
      <c r="B536" s="58">
        <v>811</v>
      </c>
      <c r="C536" s="57" t="s">
        <v>389</v>
      </c>
      <c r="D536" s="57" t="s">
        <v>379</v>
      </c>
      <c r="E536" s="58" t="s">
        <v>20</v>
      </c>
      <c r="F536" s="53" t="s">
        <v>212</v>
      </c>
      <c r="G536" s="89">
        <f>290438+25168-161297+505-108438-25168-20703-493+493</f>
        <v>505</v>
      </c>
      <c r="H536" s="89">
        <f>290438+25168-161297+505-108438-25168-20703-493+493</f>
        <v>505</v>
      </c>
      <c r="I536" s="89">
        <v>11</v>
      </c>
      <c r="J536" s="99">
        <f t="shared" si="70"/>
        <v>2.178217821782178</v>
      </c>
    </row>
    <row r="537" spans="1:10" ht="16.5" customHeight="1">
      <c r="A537" s="31" t="s">
        <v>189</v>
      </c>
      <c r="B537" s="58">
        <v>811</v>
      </c>
      <c r="C537" s="57" t="s">
        <v>389</v>
      </c>
      <c r="D537" s="57" t="s">
        <v>379</v>
      </c>
      <c r="E537" s="58" t="s">
        <v>20</v>
      </c>
      <c r="F537" s="53" t="s">
        <v>190</v>
      </c>
      <c r="G537" s="89">
        <f>25168+14885-14885</f>
        <v>25168</v>
      </c>
      <c r="H537" s="89">
        <f>25168+14885-14885</f>
        <v>25168</v>
      </c>
      <c r="I537" s="89">
        <v>15506</v>
      </c>
      <c r="J537" s="99">
        <f t="shared" si="70"/>
        <v>61.60998092816274</v>
      </c>
    </row>
    <row r="538" spans="1:10" ht="32.25" customHeight="1">
      <c r="A538" s="31" t="s">
        <v>218</v>
      </c>
      <c r="B538" s="58">
        <v>811</v>
      </c>
      <c r="C538" s="26" t="s">
        <v>389</v>
      </c>
      <c r="D538" s="20" t="s">
        <v>379</v>
      </c>
      <c r="E538" s="27" t="s">
        <v>220</v>
      </c>
      <c r="F538" s="28"/>
      <c r="G538" s="85">
        <f aca="true" t="shared" si="73" ref="G538:I540">G539</f>
        <v>2111</v>
      </c>
      <c r="H538" s="85">
        <f t="shared" si="73"/>
        <v>2111</v>
      </c>
      <c r="I538" s="85">
        <f t="shared" si="73"/>
        <v>1422</v>
      </c>
      <c r="J538" s="99">
        <f t="shared" si="70"/>
        <v>67.36144007579347</v>
      </c>
    </row>
    <row r="539" spans="1:10" ht="66" customHeight="1">
      <c r="A539" s="70" t="s">
        <v>472</v>
      </c>
      <c r="B539" s="58">
        <v>811</v>
      </c>
      <c r="C539" s="26" t="s">
        <v>389</v>
      </c>
      <c r="D539" s="20" t="s">
        <v>379</v>
      </c>
      <c r="E539" s="27" t="s">
        <v>474</v>
      </c>
      <c r="F539" s="28"/>
      <c r="G539" s="85">
        <f t="shared" si="73"/>
        <v>2111</v>
      </c>
      <c r="H539" s="85">
        <f t="shared" si="73"/>
        <v>2111</v>
      </c>
      <c r="I539" s="85">
        <f t="shared" si="73"/>
        <v>1422</v>
      </c>
      <c r="J539" s="99">
        <f t="shared" si="70"/>
        <v>67.36144007579347</v>
      </c>
    </row>
    <row r="540" spans="1:10" ht="32.25" customHeight="1">
      <c r="A540" s="60" t="s">
        <v>473</v>
      </c>
      <c r="B540" s="58">
        <v>811</v>
      </c>
      <c r="C540" s="26" t="s">
        <v>389</v>
      </c>
      <c r="D540" s="20" t="s">
        <v>379</v>
      </c>
      <c r="E540" s="27" t="s">
        <v>475</v>
      </c>
      <c r="F540" s="28"/>
      <c r="G540" s="85">
        <f t="shared" si="73"/>
        <v>2111</v>
      </c>
      <c r="H540" s="85">
        <f t="shared" si="73"/>
        <v>2111</v>
      </c>
      <c r="I540" s="85">
        <f t="shared" si="73"/>
        <v>1422</v>
      </c>
      <c r="J540" s="99">
        <f t="shared" si="70"/>
        <v>67.36144007579347</v>
      </c>
    </row>
    <row r="541" spans="1:10" ht="16.5" customHeight="1">
      <c r="A541" s="31" t="s">
        <v>209</v>
      </c>
      <c r="B541" s="58">
        <v>811</v>
      </c>
      <c r="C541" s="26" t="s">
        <v>389</v>
      </c>
      <c r="D541" s="20" t="s">
        <v>379</v>
      </c>
      <c r="E541" s="27" t="s">
        <v>475</v>
      </c>
      <c r="F541" s="28" t="s">
        <v>212</v>
      </c>
      <c r="G541" s="85">
        <f>24000+3821-24000+3400-5110</f>
        <v>2111</v>
      </c>
      <c r="H541" s="85">
        <f>24000+3821-24000+3400-5110</f>
        <v>2111</v>
      </c>
      <c r="I541" s="85">
        <v>1422</v>
      </c>
      <c r="J541" s="99">
        <f t="shared" si="70"/>
        <v>67.36144007579347</v>
      </c>
    </row>
    <row r="542" spans="1:10" ht="16.5" customHeight="1">
      <c r="A542" s="31" t="s">
        <v>7</v>
      </c>
      <c r="B542" s="58">
        <v>811</v>
      </c>
      <c r="C542" s="54" t="s">
        <v>389</v>
      </c>
      <c r="D542" s="54" t="s">
        <v>379</v>
      </c>
      <c r="E542" s="55" t="s">
        <v>9</v>
      </c>
      <c r="F542" s="56"/>
      <c r="G542" s="6">
        <f>G543+G545</f>
        <v>8346</v>
      </c>
      <c r="H542" s="6">
        <f>H543+H545</f>
        <v>8346</v>
      </c>
      <c r="I542" s="6">
        <f>I543+I545</f>
        <v>7383</v>
      </c>
      <c r="J542" s="99">
        <f t="shared" si="70"/>
        <v>88.46153846153845</v>
      </c>
    </row>
    <row r="543" spans="1:10" ht="48" customHeight="1" hidden="1">
      <c r="A543" s="64" t="s">
        <v>35</v>
      </c>
      <c r="B543" s="58">
        <v>811</v>
      </c>
      <c r="C543" s="54" t="s">
        <v>389</v>
      </c>
      <c r="D543" s="54" t="s">
        <v>379</v>
      </c>
      <c r="E543" s="55" t="s">
        <v>36</v>
      </c>
      <c r="F543" s="56"/>
      <c r="G543" s="6">
        <f>G544</f>
        <v>0</v>
      </c>
      <c r="H543" s="6">
        <f>H544</f>
        <v>0</v>
      </c>
      <c r="I543" s="6">
        <f>I544</f>
        <v>0</v>
      </c>
      <c r="J543" s="99" t="e">
        <f t="shared" si="70"/>
        <v>#DIV/0!</v>
      </c>
    </row>
    <row r="544" spans="1:10" ht="17.25" customHeight="1" hidden="1">
      <c r="A544" s="31" t="s">
        <v>209</v>
      </c>
      <c r="B544" s="58">
        <v>811</v>
      </c>
      <c r="C544" s="54" t="s">
        <v>389</v>
      </c>
      <c r="D544" s="54" t="s">
        <v>379</v>
      </c>
      <c r="E544" s="55" t="s">
        <v>36</v>
      </c>
      <c r="F544" s="56" t="s">
        <v>212</v>
      </c>
      <c r="G544" s="6">
        <f>44075-44075</f>
        <v>0</v>
      </c>
      <c r="H544" s="6">
        <f>44075-44075</f>
        <v>0</v>
      </c>
      <c r="I544" s="6">
        <f>44075-44075</f>
        <v>0</v>
      </c>
      <c r="J544" s="99" t="e">
        <f t="shared" si="70"/>
        <v>#DIV/0!</v>
      </c>
    </row>
    <row r="545" spans="1:10" ht="49.5" customHeight="1">
      <c r="A545" s="31" t="s">
        <v>87</v>
      </c>
      <c r="B545" s="27">
        <v>811</v>
      </c>
      <c r="C545" s="20" t="s">
        <v>389</v>
      </c>
      <c r="D545" s="20" t="s">
        <v>379</v>
      </c>
      <c r="E545" s="19" t="s">
        <v>88</v>
      </c>
      <c r="F545" s="56"/>
      <c r="G545" s="6">
        <f aca="true" t="shared" si="74" ref="G545:I546">G546</f>
        <v>8346</v>
      </c>
      <c r="H545" s="6">
        <f t="shared" si="74"/>
        <v>8346</v>
      </c>
      <c r="I545" s="6">
        <f t="shared" si="74"/>
        <v>7383</v>
      </c>
      <c r="J545" s="99">
        <f t="shared" si="70"/>
        <v>88.46153846153845</v>
      </c>
    </row>
    <row r="546" spans="1:10" ht="32.25" customHeight="1">
      <c r="A546" s="31" t="s">
        <v>93</v>
      </c>
      <c r="B546" s="27">
        <v>811</v>
      </c>
      <c r="C546" s="20" t="s">
        <v>389</v>
      </c>
      <c r="D546" s="20" t="s">
        <v>379</v>
      </c>
      <c r="E546" s="19" t="s">
        <v>94</v>
      </c>
      <c r="F546" s="56"/>
      <c r="G546" s="6">
        <f t="shared" si="74"/>
        <v>8346</v>
      </c>
      <c r="H546" s="6">
        <f t="shared" si="74"/>
        <v>8346</v>
      </c>
      <c r="I546" s="6">
        <f t="shared" si="74"/>
        <v>7383</v>
      </c>
      <c r="J546" s="99">
        <f t="shared" si="70"/>
        <v>88.46153846153845</v>
      </c>
    </row>
    <row r="547" spans="1:10" ht="16.5" customHeight="1">
      <c r="A547" s="31" t="s">
        <v>209</v>
      </c>
      <c r="B547" s="58">
        <v>811</v>
      </c>
      <c r="C547" s="54" t="s">
        <v>389</v>
      </c>
      <c r="D547" s="54" t="s">
        <v>379</v>
      </c>
      <c r="E547" s="55" t="s">
        <v>94</v>
      </c>
      <c r="F547" s="56" t="s">
        <v>212</v>
      </c>
      <c r="G547" s="6">
        <v>8346</v>
      </c>
      <c r="H547" s="6">
        <v>8346</v>
      </c>
      <c r="I547" s="6">
        <v>7383</v>
      </c>
      <c r="J547" s="99">
        <f t="shared" si="70"/>
        <v>88.46153846153845</v>
      </c>
    </row>
    <row r="548" spans="1:10" ht="16.5" customHeight="1">
      <c r="A548" s="23" t="s">
        <v>199</v>
      </c>
      <c r="B548" s="58">
        <v>811</v>
      </c>
      <c r="C548" s="57" t="s">
        <v>389</v>
      </c>
      <c r="D548" s="57" t="s">
        <v>379</v>
      </c>
      <c r="E548" s="58" t="s">
        <v>417</v>
      </c>
      <c r="F548" s="53"/>
      <c r="G548" s="6">
        <f>G551+G553+G549</f>
        <v>32326</v>
      </c>
      <c r="H548" s="6">
        <f>H551+H553+H549</f>
        <v>32326</v>
      </c>
      <c r="I548" s="6">
        <f>I551+I553+I549</f>
        <v>21754</v>
      </c>
      <c r="J548" s="99">
        <f t="shared" si="70"/>
        <v>67.29567530780177</v>
      </c>
    </row>
    <row r="549" spans="1:10" ht="49.5" customHeight="1" hidden="1">
      <c r="A549" s="31" t="s">
        <v>585</v>
      </c>
      <c r="B549" s="58">
        <v>811</v>
      </c>
      <c r="C549" s="57" t="s">
        <v>389</v>
      </c>
      <c r="D549" s="57" t="s">
        <v>379</v>
      </c>
      <c r="E549" s="58" t="s">
        <v>214</v>
      </c>
      <c r="F549" s="53"/>
      <c r="G549" s="6">
        <f>G550</f>
        <v>0</v>
      </c>
      <c r="H549" s="6">
        <f>H550</f>
        <v>0</v>
      </c>
      <c r="I549" s="6">
        <f>I550</f>
        <v>0</v>
      </c>
      <c r="J549" s="99" t="e">
        <f t="shared" si="70"/>
        <v>#DIV/0!</v>
      </c>
    </row>
    <row r="550" spans="1:10" ht="17.25" customHeight="1" hidden="1">
      <c r="A550" s="31" t="s">
        <v>209</v>
      </c>
      <c r="B550" s="58">
        <v>811</v>
      </c>
      <c r="C550" s="57" t="s">
        <v>389</v>
      </c>
      <c r="D550" s="57" t="s">
        <v>379</v>
      </c>
      <c r="E550" s="58" t="s">
        <v>214</v>
      </c>
      <c r="F550" s="53" t="s">
        <v>212</v>
      </c>
      <c r="G550" s="6">
        <v>0</v>
      </c>
      <c r="H550" s="6">
        <v>0</v>
      </c>
      <c r="I550" s="6">
        <v>0</v>
      </c>
      <c r="J550" s="99" t="e">
        <f t="shared" si="70"/>
        <v>#DIV/0!</v>
      </c>
    </row>
    <row r="551" spans="1:10" ht="32.25" customHeight="1">
      <c r="A551" s="31" t="s">
        <v>567</v>
      </c>
      <c r="B551" s="58">
        <v>811</v>
      </c>
      <c r="C551" s="57" t="s">
        <v>389</v>
      </c>
      <c r="D551" s="57" t="s">
        <v>379</v>
      </c>
      <c r="E551" s="58" t="s">
        <v>215</v>
      </c>
      <c r="F551" s="53"/>
      <c r="G551" s="6">
        <f>G552</f>
        <v>3320</v>
      </c>
      <c r="H551" s="6">
        <f>H552</f>
        <v>3320</v>
      </c>
      <c r="I551" s="6">
        <f>I552</f>
        <v>3263</v>
      </c>
      <c r="J551" s="99">
        <f t="shared" si="70"/>
        <v>98.28313253012048</v>
      </c>
    </row>
    <row r="552" spans="1:10" ht="16.5" customHeight="1">
      <c r="A552" s="60" t="s">
        <v>419</v>
      </c>
      <c r="B552" s="58">
        <v>811</v>
      </c>
      <c r="C552" s="57" t="s">
        <v>389</v>
      </c>
      <c r="D552" s="57" t="s">
        <v>379</v>
      </c>
      <c r="E552" s="58" t="s">
        <v>215</v>
      </c>
      <c r="F552" s="53" t="s">
        <v>420</v>
      </c>
      <c r="G552" s="6">
        <f>5000-5000+5000-1680</f>
        <v>3320</v>
      </c>
      <c r="H552" s="6">
        <f>5000-5000+5000-1680</f>
        <v>3320</v>
      </c>
      <c r="I552" s="6">
        <v>3263</v>
      </c>
      <c r="J552" s="99">
        <f t="shared" si="70"/>
        <v>98.28313253012048</v>
      </c>
    </row>
    <row r="553" spans="1:10" ht="49.5" customHeight="1">
      <c r="A553" s="60" t="s">
        <v>584</v>
      </c>
      <c r="B553" s="19">
        <v>811</v>
      </c>
      <c r="C553" s="54" t="s">
        <v>389</v>
      </c>
      <c r="D553" s="54" t="s">
        <v>379</v>
      </c>
      <c r="E553" s="55" t="s">
        <v>216</v>
      </c>
      <c r="F553" s="56"/>
      <c r="G553" s="6">
        <f>G554</f>
        <v>29006</v>
      </c>
      <c r="H553" s="6">
        <f>H554</f>
        <v>29006</v>
      </c>
      <c r="I553" s="6">
        <f>I554</f>
        <v>18491</v>
      </c>
      <c r="J553" s="99">
        <f t="shared" si="70"/>
        <v>63.74887954216369</v>
      </c>
    </row>
    <row r="554" spans="1:10" ht="16.5" customHeight="1">
      <c r="A554" s="31" t="s">
        <v>209</v>
      </c>
      <c r="B554" s="19">
        <v>811</v>
      </c>
      <c r="C554" s="54" t="s">
        <v>389</v>
      </c>
      <c r="D554" s="54" t="s">
        <v>379</v>
      </c>
      <c r="E554" s="55" t="s">
        <v>216</v>
      </c>
      <c r="F554" s="56" t="s">
        <v>212</v>
      </c>
      <c r="G554" s="6">
        <f>80640-35640-15994</f>
        <v>29006</v>
      </c>
      <c r="H554" s="6">
        <f>80640-35640-15994</f>
        <v>29006</v>
      </c>
      <c r="I554" s="6">
        <v>18491</v>
      </c>
      <c r="J554" s="99">
        <f t="shared" si="70"/>
        <v>63.74887954216369</v>
      </c>
    </row>
    <row r="555" spans="1:10" ht="12" customHeight="1">
      <c r="A555" s="62"/>
      <c r="B555" s="73"/>
      <c r="C555" s="72"/>
      <c r="D555" s="72"/>
      <c r="E555" s="73"/>
      <c r="F555" s="74"/>
      <c r="G555" s="5"/>
      <c r="H555" s="5"/>
      <c r="I555" s="5"/>
      <c r="J555" s="99"/>
    </row>
    <row r="556" spans="1:10" ht="16.5" customHeight="1">
      <c r="A556" s="31" t="s">
        <v>217</v>
      </c>
      <c r="B556" s="19">
        <v>811</v>
      </c>
      <c r="C556" s="20" t="s">
        <v>389</v>
      </c>
      <c r="D556" s="20" t="s">
        <v>380</v>
      </c>
      <c r="E556" s="19"/>
      <c r="F556" s="21"/>
      <c r="G556" s="6">
        <f>G561+G565+G586+G576+G579+G582+G557</f>
        <v>294901</v>
      </c>
      <c r="H556" s="6">
        <f>H561+H565+H586+H576+H579+H582+H557</f>
        <v>296961</v>
      </c>
      <c r="I556" s="6">
        <f>I561+I565+I586+I576+I579+I582+I557</f>
        <v>286852</v>
      </c>
      <c r="J556" s="99">
        <f t="shared" si="70"/>
        <v>96.59584928660666</v>
      </c>
    </row>
    <row r="557" spans="1:10" ht="16.5" customHeight="1">
      <c r="A557" s="31" t="s">
        <v>371</v>
      </c>
      <c r="B557" s="26" t="s">
        <v>482</v>
      </c>
      <c r="C557" s="26" t="s">
        <v>389</v>
      </c>
      <c r="D557" s="26" t="s">
        <v>380</v>
      </c>
      <c r="E557" s="26" t="s">
        <v>427</v>
      </c>
      <c r="F557" s="28"/>
      <c r="G557" s="6">
        <f aca="true" t="shared" si="75" ref="G557:I559">G558</f>
        <v>0</v>
      </c>
      <c r="H557" s="6">
        <f t="shared" si="75"/>
        <v>2071</v>
      </c>
      <c r="I557" s="6">
        <f t="shared" si="75"/>
        <v>1546</v>
      </c>
      <c r="J557" s="99">
        <f t="shared" si="70"/>
        <v>74.64992757122162</v>
      </c>
    </row>
    <row r="558" spans="1:10" ht="16.5" customHeight="1">
      <c r="A558" s="8" t="s">
        <v>426</v>
      </c>
      <c r="B558" s="26" t="s">
        <v>482</v>
      </c>
      <c r="C558" s="26" t="s">
        <v>389</v>
      </c>
      <c r="D558" s="26" t="s">
        <v>380</v>
      </c>
      <c r="E558" s="26" t="s">
        <v>428</v>
      </c>
      <c r="F558" s="28"/>
      <c r="G558" s="6">
        <f t="shared" si="75"/>
        <v>0</v>
      </c>
      <c r="H558" s="6">
        <f t="shared" si="75"/>
        <v>2071</v>
      </c>
      <c r="I558" s="6">
        <f t="shared" si="75"/>
        <v>1546</v>
      </c>
      <c r="J558" s="99">
        <f t="shared" si="70"/>
        <v>74.64992757122162</v>
      </c>
    </row>
    <row r="559" spans="1:10" ht="16.5" customHeight="1">
      <c r="A559" s="67" t="s">
        <v>469</v>
      </c>
      <c r="B559" s="26" t="s">
        <v>482</v>
      </c>
      <c r="C559" s="26" t="s">
        <v>389</v>
      </c>
      <c r="D559" s="26" t="s">
        <v>380</v>
      </c>
      <c r="E559" s="26" t="s">
        <v>311</v>
      </c>
      <c r="F559" s="28"/>
      <c r="G559" s="6">
        <f t="shared" si="75"/>
        <v>0</v>
      </c>
      <c r="H559" s="6">
        <f t="shared" si="75"/>
        <v>2071</v>
      </c>
      <c r="I559" s="6">
        <f t="shared" si="75"/>
        <v>1546</v>
      </c>
      <c r="J559" s="99">
        <f t="shared" si="70"/>
        <v>74.64992757122162</v>
      </c>
    </row>
    <row r="560" spans="1:10" ht="16.5" customHeight="1">
      <c r="A560" s="60" t="s">
        <v>419</v>
      </c>
      <c r="B560" s="26" t="s">
        <v>482</v>
      </c>
      <c r="C560" s="26" t="s">
        <v>389</v>
      </c>
      <c r="D560" s="26" t="s">
        <v>380</v>
      </c>
      <c r="E560" s="26" t="s">
        <v>312</v>
      </c>
      <c r="F560" s="28" t="s">
        <v>420</v>
      </c>
      <c r="G560" s="6">
        <v>0</v>
      </c>
      <c r="H560" s="6">
        <v>2071</v>
      </c>
      <c r="I560" s="6">
        <v>1546</v>
      </c>
      <c r="J560" s="99">
        <f t="shared" si="70"/>
        <v>74.64992757122162</v>
      </c>
    </row>
    <row r="561" spans="1:10" ht="32.25" customHeight="1">
      <c r="A561" s="31" t="s">
        <v>218</v>
      </c>
      <c r="B561" s="19">
        <v>811</v>
      </c>
      <c r="C561" s="26" t="s">
        <v>389</v>
      </c>
      <c r="D561" s="26" t="s">
        <v>380</v>
      </c>
      <c r="E561" s="27" t="s">
        <v>220</v>
      </c>
      <c r="F561" s="28"/>
      <c r="G561" s="6">
        <f aca="true" t="shared" si="76" ref="G561:I563">G562</f>
        <v>37371</v>
      </c>
      <c r="H561" s="6">
        <f t="shared" si="76"/>
        <v>37371</v>
      </c>
      <c r="I561" s="6">
        <f t="shared" si="76"/>
        <v>35562</v>
      </c>
      <c r="J561" s="99">
        <f t="shared" si="70"/>
        <v>95.15934815766236</v>
      </c>
    </row>
    <row r="562" spans="1:10" ht="66" customHeight="1">
      <c r="A562" s="70" t="s">
        <v>472</v>
      </c>
      <c r="B562" s="19">
        <v>811</v>
      </c>
      <c r="C562" s="26" t="s">
        <v>389</v>
      </c>
      <c r="D562" s="26" t="s">
        <v>380</v>
      </c>
      <c r="E562" s="27" t="s">
        <v>474</v>
      </c>
      <c r="F562" s="28"/>
      <c r="G562" s="6">
        <f t="shared" si="76"/>
        <v>37371</v>
      </c>
      <c r="H562" s="6">
        <f t="shared" si="76"/>
        <v>37371</v>
      </c>
      <c r="I562" s="6">
        <f t="shared" si="76"/>
        <v>35562</v>
      </c>
      <c r="J562" s="99">
        <f t="shared" si="70"/>
        <v>95.15934815766236</v>
      </c>
    </row>
    <row r="563" spans="1:10" ht="32.25" customHeight="1">
      <c r="A563" s="60" t="s">
        <v>473</v>
      </c>
      <c r="B563" s="19">
        <v>811</v>
      </c>
      <c r="C563" s="26" t="s">
        <v>389</v>
      </c>
      <c r="D563" s="26" t="s">
        <v>380</v>
      </c>
      <c r="E563" s="27" t="s">
        <v>475</v>
      </c>
      <c r="F563" s="28"/>
      <c r="G563" s="6">
        <f t="shared" si="76"/>
        <v>37371</v>
      </c>
      <c r="H563" s="6">
        <f t="shared" si="76"/>
        <v>37371</v>
      </c>
      <c r="I563" s="6">
        <f t="shared" si="76"/>
        <v>35562</v>
      </c>
      <c r="J563" s="99">
        <f t="shared" si="70"/>
        <v>95.15934815766236</v>
      </c>
    </row>
    <row r="564" spans="1:10" ht="16.5" customHeight="1">
      <c r="A564" s="31" t="s">
        <v>209</v>
      </c>
      <c r="B564" s="19">
        <v>811</v>
      </c>
      <c r="C564" s="26" t="s">
        <v>389</v>
      </c>
      <c r="D564" s="26" t="s">
        <v>380</v>
      </c>
      <c r="E564" s="27" t="s">
        <v>475</v>
      </c>
      <c r="F564" s="28" t="s">
        <v>212</v>
      </c>
      <c r="G564" s="6">
        <f>34807+5147-8984-4626+5020+2299+8+662-420+3458</f>
        <v>37371</v>
      </c>
      <c r="H564" s="6">
        <f>34807+5147-8984-4626+5020+2299+8+662-420+3458</f>
        <v>37371</v>
      </c>
      <c r="I564" s="6">
        <v>35562</v>
      </c>
      <c r="J564" s="99">
        <f t="shared" si="70"/>
        <v>95.15934815766236</v>
      </c>
    </row>
    <row r="565" spans="1:10" ht="16.5" customHeight="1">
      <c r="A565" s="31" t="s">
        <v>377</v>
      </c>
      <c r="B565" s="19">
        <v>811</v>
      </c>
      <c r="C565" s="26" t="s">
        <v>389</v>
      </c>
      <c r="D565" s="26" t="s">
        <v>380</v>
      </c>
      <c r="E565" s="27" t="s">
        <v>221</v>
      </c>
      <c r="F565" s="28"/>
      <c r="G565" s="6">
        <f>G566+G568+G570+G572+G574</f>
        <v>161807</v>
      </c>
      <c r="H565" s="6">
        <f>H566+H568+H570+H572+H574</f>
        <v>161807</v>
      </c>
      <c r="I565" s="6">
        <f>I566+I568+I570+I572+I574</f>
        <v>157870</v>
      </c>
      <c r="J565" s="99">
        <f t="shared" si="70"/>
        <v>97.56685433881105</v>
      </c>
    </row>
    <row r="566" spans="1:10" ht="16.5" customHeight="1">
      <c r="A566" s="8" t="s">
        <v>195</v>
      </c>
      <c r="B566" s="19">
        <v>811</v>
      </c>
      <c r="C566" s="26" t="s">
        <v>389</v>
      </c>
      <c r="D566" s="26" t="s">
        <v>380</v>
      </c>
      <c r="E566" s="27" t="s">
        <v>222</v>
      </c>
      <c r="F566" s="28"/>
      <c r="G566" s="6">
        <f>G567</f>
        <v>120177</v>
      </c>
      <c r="H566" s="6">
        <f>H567</f>
        <v>120177</v>
      </c>
      <c r="I566" s="6">
        <f>I567</f>
        <v>116270</v>
      </c>
      <c r="J566" s="99">
        <f t="shared" si="70"/>
        <v>96.74896194779366</v>
      </c>
    </row>
    <row r="567" spans="1:10" ht="16.5" customHeight="1">
      <c r="A567" s="60" t="s">
        <v>419</v>
      </c>
      <c r="B567" s="19">
        <v>811</v>
      </c>
      <c r="C567" s="26" t="s">
        <v>223</v>
      </c>
      <c r="D567" s="26" t="s">
        <v>380</v>
      </c>
      <c r="E567" s="27" t="s">
        <v>222</v>
      </c>
      <c r="F567" s="28" t="s">
        <v>420</v>
      </c>
      <c r="G567" s="6">
        <f>118000-40000+9051+23526+9600</f>
        <v>120177</v>
      </c>
      <c r="H567" s="6">
        <f>118000-40000+9051+23526+9600</f>
        <v>120177</v>
      </c>
      <c r="I567" s="6">
        <v>116270</v>
      </c>
      <c r="J567" s="99">
        <f t="shared" si="70"/>
        <v>96.74896194779366</v>
      </c>
    </row>
    <row r="568" spans="1:10" ht="32.25" customHeight="1">
      <c r="A568" s="64" t="s">
        <v>55</v>
      </c>
      <c r="B568" s="19">
        <v>811</v>
      </c>
      <c r="C568" s="26" t="s">
        <v>389</v>
      </c>
      <c r="D568" s="26" t="s">
        <v>380</v>
      </c>
      <c r="E568" s="27" t="s">
        <v>623</v>
      </c>
      <c r="F568" s="28"/>
      <c r="G568" s="6">
        <f>G569</f>
        <v>25600</v>
      </c>
      <c r="H568" s="6">
        <f>H569</f>
        <v>25600</v>
      </c>
      <c r="I568" s="6">
        <f>I569</f>
        <v>25600</v>
      </c>
      <c r="J568" s="99">
        <f t="shared" si="70"/>
        <v>100</v>
      </c>
    </row>
    <row r="569" spans="1:10" ht="16.5" customHeight="1">
      <c r="A569" s="64" t="s">
        <v>422</v>
      </c>
      <c r="B569" s="19">
        <v>811</v>
      </c>
      <c r="C569" s="26" t="s">
        <v>389</v>
      </c>
      <c r="D569" s="26" t="s">
        <v>380</v>
      </c>
      <c r="E569" s="27" t="s">
        <v>623</v>
      </c>
      <c r="F569" s="28" t="s">
        <v>423</v>
      </c>
      <c r="G569" s="6">
        <v>25600</v>
      </c>
      <c r="H569" s="6">
        <v>25600</v>
      </c>
      <c r="I569" s="6">
        <v>25600</v>
      </c>
      <c r="J569" s="99">
        <f t="shared" si="70"/>
        <v>100</v>
      </c>
    </row>
    <row r="570" spans="1:10" ht="49.5" customHeight="1">
      <c r="A570" s="64" t="s">
        <v>116</v>
      </c>
      <c r="B570" s="19">
        <v>811</v>
      </c>
      <c r="C570" s="57" t="s">
        <v>389</v>
      </c>
      <c r="D570" s="57" t="s">
        <v>380</v>
      </c>
      <c r="E570" s="57" t="s">
        <v>117</v>
      </c>
      <c r="F570" s="53"/>
      <c r="G570" s="96">
        <f>G571</f>
        <v>6050</v>
      </c>
      <c r="H570" s="96">
        <f>H571</f>
        <v>6050</v>
      </c>
      <c r="I570" s="96">
        <f>I571</f>
        <v>6047</v>
      </c>
      <c r="J570" s="99">
        <f t="shared" si="70"/>
        <v>99.9504132231405</v>
      </c>
    </row>
    <row r="571" spans="1:10" ht="16.5" customHeight="1">
      <c r="A571" s="64" t="s">
        <v>422</v>
      </c>
      <c r="B571" s="19">
        <v>811</v>
      </c>
      <c r="C571" s="57" t="s">
        <v>389</v>
      </c>
      <c r="D571" s="57" t="s">
        <v>380</v>
      </c>
      <c r="E571" s="57" t="s">
        <v>117</v>
      </c>
      <c r="F571" s="53" t="s">
        <v>423</v>
      </c>
      <c r="G571" s="96">
        <v>6050</v>
      </c>
      <c r="H571" s="96">
        <v>6050</v>
      </c>
      <c r="I571" s="96">
        <v>6047</v>
      </c>
      <c r="J571" s="99">
        <f t="shared" si="70"/>
        <v>99.9504132231405</v>
      </c>
    </row>
    <row r="572" spans="1:10" ht="66" customHeight="1">
      <c r="A572" s="8" t="s">
        <v>131</v>
      </c>
      <c r="B572" s="19">
        <v>811</v>
      </c>
      <c r="C572" s="26" t="s">
        <v>389</v>
      </c>
      <c r="D572" s="26" t="s">
        <v>380</v>
      </c>
      <c r="E572" s="27" t="s">
        <v>128</v>
      </c>
      <c r="F572" s="28"/>
      <c r="G572" s="92">
        <f>G573</f>
        <v>9100</v>
      </c>
      <c r="H572" s="92">
        <f>H573</f>
        <v>9100</v>
      </c>
      <c r="I572" s="92">
        <f>I573</f>
        <v>9073</v>
      </c>
      <c r="J572" s="99">
        <f t="shared" si="70"/>
        <v>99.7032967032967</v>
      </c>
    </row>
    <row r="573" spans="1:10" ht="16.5" customHeight="1">
      <c r="A573" s="64" t="s">
        <v>422</v>
      </c>
      <c r="B573" s="19">
        <v>811</v>
      </c>
      <c r="C573" s="26" t="s">
        <v>389</v>
      </c>
      <c r="D573" s="26" t="s">
        <v>380</v>
      </c>
      <c r="E573" s="27" t="s">
        <v>128</v>
      </c>
      <c r="F573" s="28" t="s">
        <v>423</v>
      </c>
      <c r="G573" s="92">
        <v>9100</v>
      </c>
      <c r="H573" s="92">
        <v>9100</v>
      </c>
      <c r="I573" s="92">
        <v>9073</v>
      </c>
      <c r="J573" s="99">
        <f t="shared" si="70"/>
        <v>99.7032967032967</v>
      </c>
    </row>
    <row r="574" spans="1:10" ht="32.25" customHeight="1">
      <c r="A574" s="64" t="s">
        <v>127</v>
      </c>
      <c r="B574" s="19">
        <v>811</v>
      </c>
      <c r="C574" s="26" t="s">
        <v>389</v>
      </c>
      <c r="D574" s="26" t="s">
        <v>380</v>
      </c>
      <c r="E574" s="27" t="s">
        <v>130</v>
      </c>
      <c r="F574" s="53"/>
      <c r="G574" s="92">
        <f>G575</f>
        <v>880</v>
      </c>
      <c r="H574" s="92">
        <f>H575</f>
        <v>880</v>
      </c>
      <c r="I574" s="92">
        <f>I575</f>
        <v>880</v>
      </c>
      <c r="J574" s="99">
        <f t="shared" si="70"/>
        <v>100</v>
      </c>
    </row>
    <row r="575" spans="1:10" ht="16.5" customHeight="1">
      <c r="A575" s="60" t="s">
        <v>419</v>
      </c>
      <c r="B575" s="19">
        <v>811</v>
      </c>
      <c r="C575" s="26" t="s">
        <v>389</v>
      </c>
      <c r="D575" s="26" t="s">
        <v>380</v>
      </c>
      <c r="E575" s="27" t="s">
        <v>130</v>
      </c>
      <c r="F575" s="53" t="s">
        <v>420</v>
      </c>
      <c r="G575" s="92">
        <v>880</v>
      </c>
      <c r="H575" s="92">
        <v>880</v>
      </c>
      <c r="I575" s="92">
        <v>880</v>
      </c>
      <c r="J575" s="99">
        <f t="shared" si="70"/>
        <v>100</v>
      </c>
    </row>
    <row r="576" spans="1:10" ht="16.5" customHeight="1">
      <c r="A576" s="31" t="s">
        <v>7</v>
      </c>
      <c r="B576" s="19">
        <v>811</v>
      </c>
      <c r="C576" s="57" t="s">
        <v>389</v>
      </c>
      <c r="D576" s="57" t="s">
        <v>380</v>
      </c>
      <c r="E576" s="57" t="s">
        <v>9</v>
      </c>
      <c r="F576" s="53"/>
      <c r="G576" s="6">
        <f aca="true" t="shared" si="77" ref="G576:I577">G577</f>
        <v>5758</v>
      </c>
      <c r="H576" s="6">
        <f t="shared" si="77"/>
        <v>5758</v>
      </c>
      <c r="I576" s="6">
        <f t="shared" si="77"/>
        <v>5758</v>
      </c>
      <c r="J576" s="99">
        <f t="shared" si="70"/>
        <v>100</v>
      </c>
    </row>
    <row r="577" spans="1:10" ht="49.5" customHeight="1">
      <c r="A577" s="64" t="s">
        <v>39</v>
      </c>
      <c r="B577" s="19">
        <v>811</v>
      </c>
      <c r="C577" s="57" t="s">
        <v>389</v>
      </c>
      <c r="D577" s="57" t="s">
        <v>380</v>
      </c>
      <c r="E577" s="57" t="s">
        <v>40</v>
      </c>
      <c r="F577" s="53"/>
      <c r="G577" s="6">
        <f t="shared" si="77"/>
        <v>5758</v>
      </c>
      <c r="H577" s="6">
        <f t="shared" si="77"/>
        <v>5758</v>
      </c>
      <c r="I577" s="6">
        <f t="shared" si="77"/>
        <v>5758</v>
      </c>
      <c r="J577" s="99">
        <f t="shared" si="70"/>
        <v>100</v>
      </c>
    </row>
    <row r="578" spans="1:10" ht="16.5" customHeight="1">
      <c r="A578" s="31" t="s">
        <v>209</v>
      </c>
      <c r="B578" s="19">
        <v>811</v>
      </c>
      <c r="C578" s="57" t="s">
        <v>389</v>
      </c>
      <c r="D578" s="57" t="s">
        <v>380</v>
      </c>
      <c r="E578" s="57" t="s">
        <v>40</v>
      </c>
      <c r="F578" s="53" t="s">
        <v>212</v>
      </c>
      <c r="G578" s="6">
        <f>12867+5801-12867-43</f>
        <v>5758</v>
      </c>
      <c r="H578" s="6">
        <f>12867+5801-12867-43</f>
        <v>5758</v>
      </c>
      <c r="I578" s="6">
        <f>12867+5801-12867-43</f>
        <v>5758</v>
      </c>
      <c r="J578" s="99">
        <f t="shared" si="70"/>
        <v>100</v>
      </c>
    </row>
    <row r="579" spans="1:10" ht="32.25" customHeight="1">
      <c r="A579" s="70" t="s">
        <v>95</v>
      </c>
      <c r="B579" s="19">
        <v>811</v>
      </c>
      <c r="C579" s="57" t="s">
        <v>389</v>
      </c>
      <c r="D579" s="57" t="s">
        <v>380</v>
      </c>
      <c r="E579" s="57" t="s">
        <v>96</v>
      </c>
      <c r="F579" s="53"/>
      <c r="G579" s="6">
        <f aca="true" t="shared" si="78" ref="G579:I580">G580</f>
        <v>416</v>
      </c>
      <c r="H579" s="6">
        <f t="shared" si="78"/>
        <v>416</v>
      </c>
      <c r="I579" s="6">
        <f t="shared" si="78"/>
        <v>416</v>
      </c>
      <c r="J579" s="99">
        <f t="shared" si="70"/>
        <v>100</v>
      </c>
    </row>
    <row r="580" spans="1:10" ht="16.5" customHeight="1">
      <c r="A580" s="70" t="s">
        <v>97</v>
      </c>
      <c r="B580" s="19">
        <v>811</v>
      </c>
      <c r="C580" s="57" t="s">
        <v>389</v>
      </c>
      <c r="D580" s="57" t="s">
        <v>380</v>
      </c>
      <c r="E580" s="57" t="s">
        <v>98</v>
      </c>
      <c r="F580" s="53"/>
      <c r="G580" s="6">
        <f t="shared" si="78"/>
        <v>416</v>
      </c>
      <c r="H580" s="6">
        <f t="shared" si="78"/>
        <v>416</v>
      </c>
      <c r="I580" s="6">
        <f t="shared" si="78"/>
        <v>416</v>
      </c>
      <c r="J580" s="99">
        <f t="shared" si="70"/>
        <v>100</v>
      </c>
    </row>
    <row r="581" spans="1:10" ht="16.5" customHeight="1">
      <c r="A581" s="59" t="s">
        <v>209</v>
      </c>
      <c r="B581" s="19">
        <v>811</v>
      </c>
      <c r="C581" s="57" t="s">
        <v>389</v>
      </c>
      <c r="D581" s="57" t="s">
        <v>380</v>
      </c>
      <c r="E581" s="57" t="s">
        <v>98</v>
      </c>
      <c r="F581" s="53" t="s">
        <v>212</v>
      </c>
      <c r="G581" s="6">
        <v>416</v>
      </c>
      <c r="H581" s="6">
        <v>416</v>
      </c>
      <c r="I581" s="6">
        <v>416</v>
      </c>
      <c r="J581" s="99">
        <f t="shared" si="70"/>
        <v>100</v>
      </c>
    </row>
    <row r="582" spans="1:10" ht="16.5" customHeight="1">
      <c r="A582" s="64" t="s">
        <v>219</v>
      </c>
      <c r="B582" s="19">
        <v>811</v>
      </c>
      <c r="C582" s="57" t="s">
        <v>389</v>
      </c>
      <c r="D582" s="57" t="s">
        <v>380</v>
      </c>
      <c r="E582" s="57" t="s">
        <v>548</v>
      </c>
      <c r="F582" s="53"/>
      <c r="G582" s="6">
        <f aca="true" t="shared" si="79" ref="G582:I584">G583</f>
        <v>1320</v>
      </c>
      <c r="H582" s="6">
        <f t="shared" si="79"/>
        <v>1309</v>
      </c>
      <c r="I582" s="6">
        <f t="shared" si="79"/>
        <v>1309</v>
      </c>
      <c r="J582" s="99">
        <f t="shared" si="70"/>
        <v>100</v>
      </c>
    </row>
    <row r="583" spans="1:10" ht="49.5" customHeight="1">
      <c r="A583" s="64" t="s">
        <v>79</v>
      </c>
      <c r="B583" s="19">
        <v>811</v>
      </c>
      <c r="C583" s="57" t="s">
        <v>389</v>
      </c>
      <c r="D583" s="57" t="s">
        <v>380</v>
      </c>
      <c r="E583" s="57" t="s">
        <v>642</v>
      </c>
      <c r="F583" s="53"/>
      <c r="G583" s="6">
        <f t="shared" si="79"/>
        <v>1320</v>
      </c>
      <c r="H583" s="6">
        <f t="shared" si="79"/>
        <v>1309</v>
      </c>
      <c r="I583" s="6">
        <f t="shared" si="79"/>
        <v>1309</v>
      </c>
      <c r="J583" s="99">
        <f t="shared" si="70"/>
        <v>100</v>
      </c>
    </row>
    <row r="584" spans="1:10" ht="32.25" customHeight="1">
      <c r="A584" s="64" t="s">
        <v>162</v>
      </c>
      <c r="B584" s="19">
        <v>811</v>
      </c>
      <c r="C584" s="57" t="s">
        <v>389</v>
      </c>
      <c r="D584" s="57" t="s">
        <v>380</v>
      </c>
      <c r="E584" s="57" t="s">
        <v>163</v>
      </c>
      <c r="F584" s="53"/>
      <c r="G584" s="6">
        <f t="shared" si="79"/>
        <v>1320</v>
      </c>
      <c r="H584" s="6">
        <f t="shared" si="79"/>
        <v>1309</v>
      </c>
      <c r="I584" s="6">
        <f t="shared" si="79"/>
        <v>1309</v>
      </c>
      <c r="J584" s="99">
        <f t="shared" si="70"/>
        <v>100</v>
      </c>
    </row>
    <row r="585" spans="1:10" ht="16.5" customHeight="1">
      <c r="A585" s="60" t="s">
        <v>419</v>
      </c>
      <c r="B585" s="19">
        <v>811</v>
      </c>
      <c r="C585" s="57" t="s">
        <v>389</v>
      </c>
      <c r="D585" s="57" t="s">
        <v>380</v>
      </c>
      <c r="E585" s="57" t="s">
        <v>163</v>
      </c>
      <c r="F585" s="53" t="s">
        <v>420</v>
      </c>
      <c r="G585" s="6">
        <v>1320</v>
      </c>
      <c r="H585" s="6">
        <v>1309</v>
      </c>
      <c r="I585" s="6">
        <v>1309</v>
      </c>
      <c r="J585" s="99">
        <f t="shared" si="70"/>
        <v>100</v>
      </c>
    </row>
    <row r="586" spans="1:10" ht="16.5" customHeight="1">
      <c r="A586" s="23" t="s">
        <v>199</v>
      </c>
      <c r="B586" s="19">
        <v>811</v>
      </c>
      <c r="C586" s="26" t="s">
        <v>389</v>
      </c>
      <c r="D586" s="26" t="s">
        <v>380</v>
      </c>
      <c r="E586" s="27" t="s">
        <v>417</v>
      </c>
      <c r="F586" s="28"/>
      <c r="G586" s="6">
        <f aca="true" t="shared" si="80" ref="G586:I587">G587</f>
        <v>88229</v>
      </c>
      <c r="H586" s="6">
        <f t="shared" si="80"/>
        <v>88229</v>
      </c>
      <c r="I586" s="6">
        <f t="shared" si="80"/>
        <v>84391</v>
      </c>
      <c r="J586" s="99">
        <f t="shared" si="70"/>
        <v>95.64995636355394</v>
      </c>
    </row>
    <row r="587" spans="1:10" ht="32.25" customHeight="1">
      <c r="A587" s="60" t="s">
        <v>586</v>
      </c>
      <c r="B587" s="19">
        <v>811</v>
      </c>
      <c r="C587" s="26" t="s">
        <v>389</v>
      </c>
      <c r="D587" s="26" t="s">
        <v>380</v>
      </c>
      <c r="E587" s="27" t="s">
        <v>483</v>
      </c>
      <c r="F587" s="28"/>
      <c r="G587" s="6">
        <f t="shared" si="80"/>
        <v>88229</v>
      </c>
      <c r="H587" s="6">
        <f t="shared" si="80"/>
        <v>88229</v>
      </c>
      <c r="I587" s="6">
        <f t="shared" si="80"/>
        <v>84391</v>
      </c>
      <c r="J587" s="99">
        <f t="shared" si="70"/>
        <v>95.64995636355394</v>
      </c>
    </row>
    <row r="588" spans="1:10" ht="16.5" customHeight="1">
      <c r="A588" s="31" t="s">
        <v>209</v>
      </c>
      <c r="B588" s="19">
        <v>811</v>
      </c>
      <c r="C588" s="26" t="s">
        <v>389</v>
      </c>
      <c r="D588" s="26" t="s">
        <v>380</v>
      </c>
      <c r="E588" s="27" t="s">
        <v>483</v>
      </c>
      <c r="F588" s="28" t="s">
        <v>212</v>
      </c>
      <c r="G588" s="6">
        <f>105000-18554-18102+10000+34350+175-21173-3467</f>
        <v>88229</v>
      </c>
      <c r="H588" s="6">
        <f>105000-18554-18102+10000+34350+175-21173-3467</f>
        <v>88229</v>
      </c>
      <c r="I588" s="6">
        <v>84391</v>
      </c>
      <c r="J588" s="99">
        <f t="shared" si="70"/>
        <v>95.64995636355394</v>
      </c>
    </row>
    <row r="589" spans="1:10" ht="12" customHeight="1">
      <c r="A589" s="60"/>
      <c r="B589" s="19"/>
      <c r="C589" s="26"/>
      <c r="D589" s="26"/>
      <c r="E589" s="27"/>
      <c r="F589" s="28"/>
      <c r="G589" s="6"/>
      <c r="H589" s="6"/>
      <c r="I589" s="6"/>
      <c r="J589" s="99"/>
    </row>
    <row r="590" spans="1:10" ht="16.5" customHeight="1">
      <c r="A590" s="23" t="s">
        <v>200</v>
      </c>
      <c r="B590" s="19">
        <v>811</v>
      </c>
      <c r="C590" s="20" t="s">
        <v>389</v>
      </c>
      <c r="D590" s="20" t="s">
        <v>381</v>
      </c>
      <c r="E590" s="19"/>
      <c r="F590" s="21"/>
      <c r="G590" s="6">
        <f>G595+G606+G611+G602+G599+G591</f>
        <v>531388</v>
      </c>
      <c r="H590" s="6">
        <f>H595+H606+H611+H602+H599+H591</f>
        <v>531725</v>
      </c>
      <c r="I590" s="6">
        <f>I595+I606+I611+I602+I599+I591</f>
        <v>529186</v>
      </c>
      <c r="J590" s="99">
        <f aca="true" t="shared" si="81" ref="J590:J652">I590/H590*100</f>
        <v>99.5224975316188</v>
      </c>
    </row>
    <row r="591" spans="1:10" ht="16.5" customHeight="1">
      <c r="A591" s="31" t="s">
        <v>371</v>
      </c>
      <c r="B591" s="26" t="s">
        <v>482</v>
      </c>
      <c r="C591" s="26" t="s">
        <v>389</v>
      </c>
      <c r="D591" s="26" t="s">
        <v>381</v>
      </c>
      <c r="E591" s="26" t="s">
        <v>427</v>
      </c>
      <c r="F591" s="28"/>
      <c r="G591" s="6">
        <f aca="true" t="shared" si="82" ref="G591:I593">G592</f>
        <v>0</v>
      </c>
      <c r="H591" s="6">
        <f t="shared" si="82"/>
        <v>337</v>
      </c>
      <c r="I591" s="6">
        <f t="shared" si="82"/>
        <v>337</v>
      </c>
      <c r="J591" s="99">
        <f t="shared" si="81"/>
        <v>100</v>
      </c>
    </row>
    <row r="592" spans="1:10" ht="16.5" customHeight="1">
      <c r="A592" s="8" t="s">
        <v>426</v>
      </c>
      <c r="B592" s="26" t="s">
        <v>482</v>
      </c>
      <c r="C592" s="26" t="s">
        <v>389</v>
      </c>
      <c r="D592" s="26" t="s">
        <v>381</v>
      </c>
      <c r="E592" s="26" t="s">
        <v>428</v>
      </c>
      <c r="F592" s="28"/>
      <c r="G592" s="6">
        <f t="shared" si="82"/>
        <v>0</v>
      </c>
      <c r="H592" s="6">
        <f t="shared" si="82"/>
        <v>337</v>
      </c>
      <c r="I592" s="6">
        <f t="shared" si="82"/>
        <v>337</v>
      </c>
      <c r="J592" s="99">
        <f t="shared" si="81"/>
        <v>100</v>
      </c>
    </row>
    <row r="593" spans="1:10" ht="16.5" customHeight="1">
      <c r="A593" s="67" t="s">
        <v>469</v>
      </c>
      <c r="B593" s="26" t="s">
        <v>482</v>
      </c>
      <c r="C593" s="26" t="s">
        <v>389</v>
      </c>
      <c r="D593" s="26" t="s">
        <v>381</v>
      </c>
      <c r="E593" s="26" t="s">
        <v>311</v>
      </c>
      <c r="F593" s="28"/>
      <c r="G593" s="6">
        <f t="shared" si="82"/>
        <v>0</v>
      </c>
      <c r="H593" s="6">
        <f t="shared" si="82"/>
        <v>337</v>
      </c>
      <c r="I593" s="6">
        <f t="shared" si="82"/>
        <v>337</v>
      </c>
      <c r="J593" s="99">
        <f t="shared" si="81"/>
        <v>100</v>
      </c>
    </row>
    <row r="594" spans="1:10" ht="16.5" customHeight="1">
      <c r="A594" s="60" t="s">
        <v>419</v>
      </c>
      <c r="B594" s="26" t="s">
        <v>482</v>
      </c>
      <c r="C594" s="26" t="s">
        <v>389</v>
      </c>
      <c r="D594" s="26" t="s">
        <v>381</v>
      </c>
      <c r="E594" s="26" t="s">
        <v>312</v>
      </c>
      <c r="F594" s="28" t="s">
        <v>420</v>
      </c>
      <c r="G594" s="6">
        <v>0</v>
      </c>
      <c r="H594" s="6">
        <v>337</v>
      </c>
      <c r="I594" s="6">
        <v>337</v>
      </c>
      <c r="J594" s="99">
        <f t="shared" si="81"/>
        <v>100</v>
      </c>
    </row>
    <row r="595" spans="1:10" ht="32.25" customHeight="1">
      <c r="A595" s="31" t="s">
        <v>218</v>
      </c>
      <c r="B595" s="19">
        <v>811</v>
      </c>
      <c r="C595" s="20" t="s">
        <v>389</v>
      </c>
      <c r="D595" s="20" t="s">
        <v>381</v>
      </c>
      <c r="E595" s="27" t="s">
        <v>220</v>
      </c>
      <c r="F595" s="28"/>
      <c r="G595" s="6">
        <f aca="true" t="shared" si="83" ref="G595:I597">G596</f>
        <v>38693</v>
      </c>
      <c r="H595" s="6">
        <f t="shared" si="83"/>
        <v>38693</v>
      </c>
      <c r="I595" s="6">
        <f t="shared" si="83"/>
        <v>37636</v>
      </c>
      <c r="J595" s="99">
        <f t="shared" si="81"/>
        <v>97.26823973328509</v>
      </c>
    </row>
    <row r="596" spans="1:10" ht="66" customHeight="1">
      <c r="A596" s="70" t="s">
        <v>472</v>
      </c>
      <c r="B596" s="19">
        <v>811</v>
      </c>
      <c r="C596" s="20" t="s">
        <v>389</v>
      </c>
      <c r="D596" s="20" t="s">
        <v>381</v>
      </c>
      <c r="E596" s="55" t="s">
        <v>474</v>
      </c>
      <c r="F596" s="28"/>
      <c r="G596" s="6">
        <f t="shared" si="83"/>
        <v>38693</v>
      </c>
      <c r="H596" s="6">
        <f t="shared" si="83"/>
        <v>38693</v>
      </c>
      <c r="I596" s="6">
        <f t="shared" si="83"/>
        <v>37636</v>
      </c>
      <c r="J596" s="99">
        <f t="shared" si="81"/>
        <v>97.26823973328509</v>
      </c>
    </row>
    <row r="597" spans="1:10" ht="32.25" customHeight="1">
      <c r="A597" s="60" t="s">
        <v>473</v>
      </c>
      <c r="B597" s="19">
        <v>811</v>
      </c>
      <c r="C597" s="20" t="s">
        <v>389</v>
      </c>
      <c r="D597" s="20" t="s">
        <v>381</v>
      </c>
      <c r="E597" s="55" t="s">
        <v>475</v>
      </c>
      <c r="F597" s="28"/>
      <c r="G597" s="6">
        <f t="shared" si="83"/>
        <v>38693</v>
      </c>
      <c r="H597" s="6">
        <f t="shared" si="83"/>
        <v>38693</v>
      </c>
      <c r="I597" s="6">
        <f t="shared" si="83"/>
        <v>37636</v>
      </c>
      <c r="J597" s="99">
        <f t="shared" si="81"/>
        <v>97.26823973328509</v>
      </c>
    </row>
    <row r="598" spans="1:10" ht="16.5" customHeight="1">
      <c r="A598" s="31" t="s">
        <v>209</v>
      </c>
      <c r="B598" s="19">
        <v>811</v>
      </c>
      <c r="C598" s="20" t="s">
        <v>389</v>
      </c>
      <c r="D598" s="20" t="s">
        <v>381</v>
      </c>
      <c r="E598" s="55" t="s">
        <v>475</v>
      </c>
      <c r="F598" s="28" t="s">
        <v>212</v>
      </c>
      <c r="G598" s="6">
        <f>27015+844+5000+4000+1226+608</f>
        <v>38693</v>
      </c>
      <c r="H598" s="6">
        <f>27015+844+5000+4000+1226+608</f>
        <v>38693</v>
      </c>
      <c r="I598" s="6">
        <v>37636</v>
      </c>
      <c r="J598" s="99">
        <f t="shared" si="81"/>
        <v>97.26823973328509</v>
      </c>
    </row>
    <row r="599" spans="1:10" ht="16.5" customHeight="1" hidden="1">
      <c r="A599" s="60" t="s">
        <v>646</v>
      </c>
      <c r="B599" s="19">
        <v>811</v>
      </c>
      <c r="C599" s="20" t="s">
        <v>389</v>
      </c>
      <c r="D599" s="20" t="s">
        <v>381</v>
      </c>
      <c r="E599" s="55" t="s">
        <v>650</v>
      </c>
      <c r="F599" s="28"/>
      <c r="G599" s="6">
        <f aca="true" t="shared" si="84" ref="G599:I600">G600</f>
        <v>0</v>
      </c>
      <c r="H599" s="6">
        <f t="shared" si="84"/>
        <v>0</v>
      </c>
      <c r="I599" s="6">
        <f t="shared" si="84"/>
        <v>0</v>
      </c>
      <c r="J599" s="99" t="e">
        <f t="shared" si="81"/>
        <v>#DIV/0!</v>
      </c>
    </row>
    <row r="600" spans="1:10" ht="16.5" customHeight="1" hidden="1">
      <c r="A600" s="31" t="s">
        <v>99</v>
      </c>
      <c r="B600" s="19">
        <v>811</v>
      </c>
      <c r="C600" s="20" t="s">
        <v>389</v>
      </c>
      <c r="D600" s="20" t="s">
        <v>381</v>
      </c>
      <c r="E600" s="55" t="s">
        <v>100</v>
      </c>
      <c r="F600" s="28"/>
      <c r="G600" s="6">
        <f t="shared" si="84"/>
        <v>0</v>
      </c>
      <c r="H600" s="6">
        <f t="shared" si="84"/>
        <v>0</v>
      </c>
      <c r="I600" s="6">
        <f t="shared" si="84"/>
        <v>0</v>
      </c>
      <c r="J600" s="99" t="e">
        <f t="shared" si="81"/>
        <v>#DIV/0!</v>
      </c>
    </row>
    <row r="601" spans="1:10" ht="16.5" customHeight="1" hidden="1">
      <c r="A601" s="60" t="s">
        <v>419</v>
      </c>
      <c r="B601" s="19">
        <v>811</v>
      </c>
      <c r="C601" s="20" t="s">
        <v>389</v>
      </c>
      <c r="D601" s="20" t="s">
        <v>381</v>
      </c>
      <c r="E601" s="55" t="s">
        <v>100</v>
      </c>
      <c r="F601" s="28" t="s">
        <v>420</v>
      </c>
      <c r="G601" s="6">
        <f>155-83-72</f>
        <v>0</v>
      </c>
      <c r="H601" s="6">
        <f>155-83-72</f>
        <v>0</v>
      </c>
      <c r="I601" s="6">
        <f>155-83-72</f>
        <v>0</v>
      </c>
      <c r="J601" s="99" t="e">
        <f t="shared" si="81"/>
        <v>#DIV/0!</v>
      </c>
    </row>
    <row r="602" spans="1:10" ht="16.5" customHeight="1">
      <c r="A602" s="31" t="s">
        <v>7</v>
      </c>
      <c r="B602" s="19">
        <v>811</v>
      </c>
      <c r="C602" s="57" t="s">
        <v>389</v>
      </c>
      <c r="D602" s="57" t="s">
        <v>381</v>
      </c>
      <c r="E602" s="27" t="s">
        <v>9</v>
      </c>
      <c r="F602" s="28"/>
      <c r="G602" s="6">
        <f>G603</f>
        <v>3277</v>
      </c>
      <c r="H602" s="6">
        <f>H603</f>
        <v>3277</v>
      </c>
      <c r="I602" s="6">
        <f>I603</f>
        <v>3277</v>
      </c>
      <c r="J602" s="99">
        <f t="shared" si="81"/>
        <v>100</v>
      </c>
    </row>
    <row r="603" spans="1:10" ht="49.5" customHeight="1">
      <c r="A603" s="31" t="s">
        <v>8</v>
      </c>
      <c r="B603" s="19">
        <v>811</v>
      </c>
      <c r="C603" s="57" t="s">
        <v>389</v>
      </c>
      <c r="D603" s="57" t="s">
        <v>381</v>
      </c>
      <c r="E603" s="27" t="s">
        <v>10</v>
      </c>
      <c r="F603" s="28"/>
      <c r="G603" s="6">
        <f>G604+G605</f>
        <v>3277</v>
      </c>
      <c r="H603" s="6">
        <f>H604+H605</f>
        <v>3277</v>
      </c>
      <c r="I603" s="6">
        <f>I604+I605</f>
        <v>3277</v>
      </c>
      <c r="J603" s="99">
        <f t="shared" si="81"/>
        <v>100</v>
      </c>
    </row>
    <row r="604" spans="1:10" ht="16.5" customHeight="1">
      <c r="A604" s="31" t="s">
        <v>209</v>
      </c>
      <c r="B604" s="19">
        <v>811</v>
      </c>
      <c r="C604" s="57" t="s">
        <v>389</v>
      </c>
      <c r="D604" s="57" t="s">
        <v>381</v>
      </c>
      <c r="E604" s="27" t="s">
        <v>10</v>
      </c>
      <c r="F604" s="28" t="s">
        <v>212</v>
      </c>
      <c r="G604" s="6">
        <f>60000+8-60000</f>
        <v>8</v>
      </c>
      <c r="H604" s="6">
        <f>60000+8-60000</f>
        <v>8</v>
      </c>
      <c r="I604" s="6">
        <f>60000+8-60000</f>
        <v>8</v>
      </c>
      <c r="J604" s="99">
        <f t="shared" si="81"/>
        <v>100</v>
      </c>
    </row>
    <row r="605" spans="1:10" ht="16.5" customHeight="1">
      <c r="A605" s="60" t="s">
        <v>419</v>
      </c>
      <c r="B605" s="19">
        <v>811</v>
      </c>
      <c r="C605" s="57" t="s">
        <v>389</v>
      </c>
      <c r="D605" s="57" t="s">
        <v>381</v>
      </c>
      <c r="E605" s="27" t="s">
        <v>10</v>
      </c>
      <c r="F605" s="28" t="s">
        <v>420</v>
      </c>
      <c r="G605" s="6">
        <f>355000+4208-355000-939</f>
        <v>3269</v>
      </c>
      <c r="H605" s="6">
        <f>355000+4208-355000-939</f>
        <v>3269</v>
      </c>
      <c r="I605" s="6">
        <f>355000+4208-355000-939</f>
        <v>3269</v>
      </c>
      <c r="J605" s="99">
        <f t="shared" si="81"/>
        <v>100</v>
      </c>
    </row>
    <row r="606" spans="1:10" ht="16.5" customHeight="1">
      <c r="A606" s="59" t="s">
        <v>200</v>
      </c>
      <c r="B606" s="19">
        <v>811</v>
      </c>
      <c r="C606" s="57" t="s">
        <v>389</v>
      </c>
      <c r="D606" s="57" t="s">
        <v>381</v>
      </c>
      <c r="E606" s="58" t="s">
        <v>226</v>
      </c>
      <c r="F606" s="53"/>
      <c r="G606" s="6">
        <f>G607+G609</f>
        <v>458736</v>
      </c>
      <c r="H606" s="6">
        <f>H607+H609</f>
        <v>458736</v>
      </c>
      <c r="I606" s="6">
        <f>I607+I609</f>
        <v>458736</v>
      </c>
      <c r="J606" s="99">
        <f t="shared" si="81"/>
        <v>100</v>
      </c>
    </row>
    <row r="607" spans="1:10" ht="16.5" customHeight="1">
      <c r="A607" s="23" t="s">
        <v>202</v>
      </c>
      <c r="B607" s="19">
        <v>811</v>
      </c>
      <c r="C607" s="20" t="s">
        <v>389</v>
      </c>
      <c r="D607" s="20" t="s">
        <v>381</v>
      </c>
      <c r="E607" s="19" t="s">
        <v>227</v>
      </c>
      <c r="F607" s="21"/>
      <c r="G607" s="6">
        <f>G608</f>
        <v>59900</v>
      </c>
      <c r="H607" s="6">
        <f>H608</f>
        <v>59900</v>
      </c>
      <c r="I607" s="6">
        <f>I608</f>
        <v>59900</v>
      </c>
      <c r="J607" s="99">
        <f t="shared" si="81"/>
        <v>100</v>
      </c>
    </row>
    <row r="608" spans="1:10" ht="16.5" customHeight="1">
      <c r="A608" s="60" t="s">
        <v>419</v>
      </c>
      <c r="B608" s="19">
        <v>811</v>
      </c>
      <c r="C608" s="20" t="s">
        <v>389</v>
      </c>
      <c r="D608" s="20" t="s">
        <v>381</v>
      </c>
      <c r="E608" s="19" t="s">
        <v>227</v>
      </c>
      <c r="F608" s="21" t="s">
        <v>420</v>
      </c>
      <c r="G608" s="6">
        <f>84900-25000</f>
        <v>59900</v>
      </c>
      <c r="H608" s="6">
        <f>84900-25000</f>
        <v>59900</v>
      </c>
      <c r="I608" s="6">
        <f>84900-25000</f>
        <v>59900</v>
      </c>
      <c r="J608" s="99">
        <f t="shared" si="81"/>
        <v>100</v>
      </c>
    </row>
    <row r="609" spans="1:10" ht="49.5" customHeight="1">
      <c r="A609" s="31" t="s">
        <v>225</v>
      </c>
      <c r="B609" s="19">
        <v>811</v>
      </c>
      <c r="C609" s="20" t="s">
        <v>389</v>
      </c>
      <c r="D609" s="20" t="s">
        <v>381</v>
      </c>
      <c r="E609" s="19" t="s">
        <v>228</v>
      </c>
      <c r="F609" s="21"/>
      <c r="G609" s="6">
        <f>G610</f>
        <v>398836</v>
      </c>
      <c r="H609" s="6">
        <f>H610</f>
        <v>398836</v>
      </c>
      <c r="I609" s="6">
        <f>I610</f>
        <v>398836</v>
      </c>
      <c r="J609" s="99">
        <f t="shared" si="81"/>
        <v>100</v>
      </c>
    </row>
    <row r="610" spans="1:10" ht="16.5" customHeight="1">
      <c r="A610" s="60" t="s">
        <v>419</v>
      </c>
      <c r="B610" s="19">
        <v>811</v>
      </c>
      <c r="C610" s="20" t="s">
        <v>389</v>
      </c>
      <c r="D610" s="20" t="s">
        <v>381</v>
      </c>
      <c r="E610" s="19" t="s">
        <v>228</v>
      </c>
      <c r="F610" s="21" t="s">
        <v>420</v>
      </c>
      <c r="G610" s="6">
        <f>530325-250000+18000+8500+62011+30000</f>
        <v>398836</v>
      </c>
      <c r="H610" s="6">
        <f>530325-250000+18000+8500+62011+30000</f>
        <v>398836</v>
      </c>
      <c r="I610" s="6">
        <f>530325-250000+18000+8500+62011+30000</f>
        <v>398836</v>
      </c>
      <c r="J610" s="99">
        <f t="shared" si="81"/>
        <v>100</v>
      </c>
    </row>
    <row r="611" spans="1:10" ht="16.5" customHeight="1">
      <c r="A611" s="23" t="s">
        <v>199</v>
      </c>
      <c r="B611" s="19">
        <v>811</v>
      </c>
      <c r="C611" s="20" t="s">
        <v>389</v>
      </c>
      <c r="D611" s="20" t="s">
        <v>381</v>
      </c>
      <c r="E611" s="19" t="s">
        <v>417</v>
      </c>
      <c r="F611" s="21"/>
      <c r="G611" s="6">
        <f>G621+G612+G614+G619+G617</f>
        <v>30682</v>
      </c>
      <c r="H611" s="6">
        <f>H621+H612+H614+H619+H617</f>
        <v>30682</v>
      </c>
      <c r="I611" s="6">
        <f>I621+I612+I614+I619+I617</f>
        <v>29200</v>
      </c>
      <c r="J611" s="99">
        <f t="shared" si="81"/>
        <v>95.16980640114726</v>
      </c>
    </row>
    <row r="612" spans="1:10" ht="49.5" customHeight="1">
      <c r="A612" s="31" t="s">
        <v>515</v>
      </c>
      <c r="B612" s="19">
        <v>811</v>
      </c>
      <c r="C612" s="20" t="s">
        <v>389</v>
      </c>
      <c r="D612" s="20" t="s">
        <v>381</v>
      </c>
      <c r="E612" s="19" t="s">
        <v>213</v>
      </c>
      <c r="F612" s="21"/>
      <c r="G612" s="6">
        <f>G613</f>
        <v>800</v>
      </c>
      <c r="H612" s="6">
        <f>H613</f>
        <v>800</v>
      </c>
      <c r="I612" s="6">
        <f>I613</f>
        <v>410</v>
      </c>
      <c r="J612" s="99">
        <f t="shared" si="81"/>
        <v>51.24999999999999</v>
      </c>
    </row>
    <row r="613" spans="1:10" ht="16.5" customHeight="1">
      <c r="A613" s="60" t="s">
        <v>419</v>
      </c>
      <c r="B613" s="19">
        <v>811</v>
      </c>
      <c r="C613" s="20" t="s">
        <v>389</v>
      </c>
      <c r="D613" s="20" t="s">
        <v>381</v>
      </c>
      <c r="E613" s="19" t="s">
        <v>213</v>
      </c>
      <c r="F613" s="21" t="s">
        <v>420</v>
      </c>
      <c r="G613" s="6">
        <f>800</f>
        <v>800</v>
      </c>
      <c r="H613" s="6">
        <f>800</f>
        <v>800</v>
      </c>
      <c r="I613" s="6">
        <v>410</v>
      </c>
      <c r="J613" s="99">
        <f t="shared" si="81"/>
        <v>51.24999999999999</v>
      </c>
    </row>
    <row r="614" spans="1:10" ht="32.25" customHeight="1">
      <c r="A614" s="60" t="s">
        <v>617</v>
      </c>
      <c r="B614" s="19">
        <v>811</v>
      </c>
      <c r="C614" s="20" t="s">
        <v>389</v>
      </c>
      <c r="D614" s="20" t="s">
        <v>381</v>
      </c>
      <c r="E614" s="19" t="s">
        <v>591</v>
      </c>
      <c r="F614" s="21"/>
      <c r="G614" s="6">
        <f>G615+G616</f>
        <v>9000</v>
      </c>
      <c r="H614" s="6">
        <f>H615+H616</f>
        <v>9000</v>
      </c>
      <c r="I614" s="6">
        <f>I615+I616</f>
        <v>9000</v>
      </c>
      <c r="J614" s="99">
        <f t="shared" si="81"/>
        <v>100</v>
      </c>
    </row>
    <row r="615" spans="1:10" ht="16.5" customHeight="1">
      <c r="A615" s="31" t="s">
        <v>209</v>
      </c>
      <c r="B615" s="19">
        <v>811</v>
      </c>
      <c r="C615" s="20" t="s">
        <v>389</v>
      </c>
      <c r="D615" s="20" t="s">
        <v>381</v>
      </c>
      <c r="E615" s="19" t="s">
        <v>591</v>
      </c>
      <c r="F615" s="21" t="s">
        <v>212</v>
      </c>
      <c r="G615" s="6">
        <f>26000-15500-4000-600</f>
        <v>5900</v>
      </c>
      <c r="H615" s="6">
        <f>26000-15500-4000-600</f>
        <v>5900</v>
      </c>
      <c r="I615" s="6">
        <f>26000-15500-4000-600</f>
        <v>5900</v>
      </c>
      <c r="J615" s="99">
        <f t="shared" si="81"/>
        <v>100</v>
      </c>
    </row>
    <row r="616" spans="1:10" ht="16.5" customHeight="1">
      <c r="A616" s="60" t="s">
        <v>419</v>
      </c>
      <c r="B616" s="19">
        <v>811</v>
      </c>
      <c r="C616" s="20" t="s">
        <v>389</v>
      </c>
      <c r="D616" s="20" t="s">
        <v>381</v>
      </c>
      <c r="E616" s="19" t="s">
        <v>591</v>
      </c>
      <c r="F616" s="21" t="s">
        <v>420</v>
      </c>
      <c r="G616" s="6">
        <f>47500-40500-4500+600</f>
        <v>3100</v>
      </c>
      <c r="H616" s="6">
        <f>47500-40500-4500+600</f>
        <v>3100</v>
      </c>
      <c r="I616" s="6">
        <f>47500-40500-4500+600</f>
        <v>3100</v>
      </c>
      <c r="J616" s="99">
        <f t="shared" si="81"/>
        <v>100</v>
      </c>
    </row>
    <row r="617" spans="1:10" ht="32.25" customHeight="1">
      <c r="A617" s="31" t="s">
        <v>567</v>
      </c>
      <c r="B617" s="58">
        <v>811</v>
      </c>
      <c r="C617" s="57" t="s">
        <v>389</v>
      </c>
      <c r="D617" s="57" t="s">
        <v>381</v>
      </c>
      <c r="E617" s="58" t="s">
        <v>215</v>
      </c>
      <c r="F617" s="53"/>
      <c r="G617" s="6">
        <f>G618</f>
        <v>1680</v>
      </c>
      <c r="H617" s="6">
        <f>H618</f>
        <v>1680</v>
      </c>
      <c r="I617" s="6">
        <f>I618</f>
        <v>1651</v>
      </c>
      <c r="J617" s="99">
        <f t="shared" si="81"/>
        <v>98.27380952380952</v>
      </c>
    </row>
    <row r="618" spans="1:10" ht="16.5" customHeight="1">
      <c r="A618" s="60" t="s">
        <v>419</v>
      </c>
      <c r="B618" s="58">
        <v>811</v>
      </c>
      <c r="C618" s="57" t="s">
        <v>389</v>
      </c>
      <c r="D618" s="57" t="s">
        <v>381</v>
      </c>
      <c r="E618" s="58" t="s">
        <v>215</v>
      </c>
      <c r="F618" s="53" t="s">
        <v>420</v>
      </c>
      <c r="G618" s="6">
        <v>1680</v>
      </c>
      <c r="H618" s="6">
        <v>1680</v>
      </c>
      <c r="I618" s="6">
        <v>1651</v>
      </c>
      <c r="J618" s="99">
        <f t="shared" si="81"/>
        <v>98.27380952380952</v>
      </c>
    </row>
    <row r="619" spans="1:10" ht="49.5" customHeight="1">
      <c r="A619" s="64" t="s">
        <v>569</v>
      </c>
      <c r="B619" s="19">
        <v>811</v>
      </c>
      <c r="C619" s="20" t="s">
        <v>389</v>
      </c>
      <c r="D619" s="20" t="s">
        <v>381</v>
      </c>
      <c r="E619" s="19" t="s">
        <v>480</v>
      </c>
      <c r="F619" s="21"/>
      <c r="G619" s="6">
        <f>G620</f>
        <v>19202</v>
      </c>
      <c r="H619" s="6">
        <f>H620</f>
        <v>19202</v>
      </c>
      <c r="I619" s="6">
        <f>I620</f>
        <v>18139</v>
      </c>
      <c r="J619" s="99">
        <f t="shared" si="81"/>
        <v>94.46411832100823</v>
      </c>
    </row>
    <row r="620" spans="1:10" ht="16.5" customHeight="1">
      <c r="A620" s="60" t="s">
        <v>419</v>
      </c>
      <c r="B620" s="19">
        <v>811</v>
      </c>
      <c r="C620" s="20" t="s">
        <v>389</v>
      </c>
      <c r="D620" s="20" t="s">
        <v>381</v>
      </c>
      <c r="E620" s="19" t="s">
        <v>622</v>
      </c>
      <c r="F620" s="21" t="s">
        <v>420</v>
      </c>
      <c r="G620" s="6">
        <f>58514-28514+28514-28514+28514-39312</f>
        <v>19202</v>
      </c>
      <c r="H620" s="6">
        <f>58514-28514+28514-28514+28514-39312</f>
        <v>19202</v>
      </c>
      <c r="I620" s="6">
        <v>18139</v>
      </c>
      <c r="J620" s="99">
        <f t="shared" si="81"/>
        <v>94.46411832100823</v>
      </c>
    </row>
    <row r="621" spans="1:10" ht="48.75" customHeight="1" hidden="1">
      <c r="A621" s="64" t="s">
        <v>499</v>
      </c>
      <c r="B621" s="19">
        <v>811</v>
      </c>
      <c r="C621" s="20" t="s">
        <v>389</v>
      </c>
      <c r="D621" s="20" t="s">
        <v>381</v>
      </c>
      <c r="E621" s="19" t="s">
        <v>481</v>
      </c>
      <c r="F621" s="21"/>
      <c r="G621" s="6">
        <f>G622+G623</f>
        <v>0</v>
      </c>
      <c r="H621" s="6">
        <f>H622+H623</f>
        <v>0</v>
      </c>
      <c r="I621" s="6">
        <f>I622+I623</f>
        <v>0</v>
      </c>
      <c r="J621" s="99" t="e">
        <f t="shared" si="81"/>
        <v>#DIV/0!</v>
      </c>
    </row>
    <row r="622" spans="1:10" ht="17.25" customHeight="1" hidden="1">
      <c r="A622" s="31" t="s">
        <v>209</v>
      </c>
      <c r="B622" s="19">
        <v>811</v>
      </c>
      <c r="C622" s="20" t="s">
        <v>389</v>
      </c>
      <c r="D622" s="20" t="s">
        <v>381</v>
      </c>
      <c r="E622" s="19" t="s">
        <v>481</v>
      </c>
      <c r="F622" s="21" t="s">
        <v>212</v>
      </c>
      <c r="G622" s="6">
        <f>15050-5000-9050-1000</f>
        <v>0</v>
      </c>
      <c r="H622" s="6">
        <f>15050-5000-9050-1000</f>
        <v>0</v>
      </c>
      <c r="I622" s="6">
        <f>15050-5000-9050-1000</f>
        <v>0</v>
      </c>
      <c r="J622" s="99" t="e">
        <f t="shared" si="81"/>
        <v>#DIV/0!</v>
      </c>
    </row>
    <row r="623" spans="1:10" ht="17.25" customHeight="1" hidden="1">
      <c r="A623" s="60" t="s">
        <v>419</v>
      </c>
      <c r="B623" s="19">
        <v>811</v>
      </c>
      <c r="C623" s="20" t="s">
        <v>389</v>
      </c>
      <c r="D623" s="20" t="s">
        <v>381</v>
      </c>
      <c r="E623" s="19" t="s">
        <v>481</v>
      </c>
      <c r="F623" s="21" t="s">
        <v>420</v>
      </c>
      <c r="G623" s="6">
        <f>9050-3000-6050</f>
        <v>0</v>
      </c>
      <c r="H623" s="6">
        <f>9050-3000-6050</f>
        <v>0</v>
      </c>
      <c r="I623" s="6">
        <f>9050-3000-6050</f>
        <v>0</v>
      </c>
      <c r="J623" s="99" t="e">
        <f t="shared" si="81"/>
        <v>#DIV/0!</v>
      </c>
    </row>
    <row r="624" spans="1:10" ht="12" customHeight="1">
      <c r="A624" s="60"/>
      <c r="B624" s="19"/>
      <c r="C624" s="20"/>
      <c r="D624" s="20"/>
      <c r="E624" s="19"/>
      <c r="F624" s="21"/>
      <c r="G624" s="6"/>
      <c r="H624" s="6"/>
      <c r="I624" s="6"/>
      <c r="J624" s="99"/>
    </row>
    <row r="625" spans="1:10" ht="16.5" customHeight="1">
      <c r="A625" s="65" t="s">
        <v>235</v>
      </c>
      <c r="B625" s="15">
        <v>811</v>
      </c>
      <c r="C625" s="30" t="s">
        <v>383</v>
      </c>
      <c r="D625" s="30"/>
      <c r="E625" s="19"/>
      <c r="F625" s="21"/>
      <c r="G625" s="5">
        <f aca="true" t="shared" si="85" ref="G625:I628">G626</f>
        <v>5000</v>
      </c>
      <c r="H625" s="5">
        <f t="shared" si="85"/>
        <v>5000</v>
      </c>
      <c r="I625" s="5">
        <f t="shared" si="85"/>
        <v>5000</v>
      </c>
      <c r="J625" s="103">
        <f t="shared" si="81"/>
        <v>100</v>
      </c>
    </row>
    <row r="626" spans="1:10" ht="16.5" customHeight="1">
      <c r="A626" s="31" t="s">
        <v>236</v>
      </c>
      <c r="B626" s="19">
        <v>811</v>
      </c>
      <c r="C626" s="20" t="s">
        <v>383</v>
      </c>
      <c r="D626" s="20" t="s">
        <v>389</v>
      </c>
      <c r="E626" s="19"/>
      <c r="F626" s="21"/>
      <c r="G626" s="6">
        <f t="shared" si="85"/>
        <v>5000</v>
      </c>
      <c r="H626" s="6">
        <f t="shared" si="85"/>
        <v>5000</v>
      </c>
      <c r="I626" s="6">
        <f t="shared" si="85"/>
        <v>5000</v>
      </c>
      <c r="J626" s="99">
        <f t="shared" si="81"/>
        <v>100</v>
      </c>
    </row>
    <row r="627" spans="1:10" ht="16.5" customHeight="1">
      <c r="A627" s="23" t="s">
        <v>199</v>
      </c>
      <c r="B627" s="19">
        <v>811</v>
      </c>
      <c r="C627" s="26" t="s">
        <v>383</v>
      </c>
      <c r="D627" s="26" t="s">
        <v>389</v>
      </c>
      <c r="E627" s="27" t="s">
        <v>417</v>
      </c>
      <c r="F627" s="28"/>
      <c r="G627" s="6">
        <f t="shared" si="85"/>
        <v>5000</v>
      </c>
      <c r="H627" s="6">
        <f t="shared" si="85"/>
        <v>5000</v>
      </c>
      <c r="I627" s="6">
        <f t="shared" si="85"/>
        <v>5000</v>
      </c>
      <c r="J627" s="99">
        <f t="shared" si="81"/>
        <v>100</v>
      </c>
    </row>
    <row r="628" spans="1:10" ht="32.25" customHeight="1">
      <c r="A628" s="31" t="s">
        <v>494</v>
      </c>
      <c r="B628" s="19">
        <v>811</v>
      </c>
      <c r="C628" s="26" t="s">
        <v>383</v>
      </c>
      <c r="D628" s="26" t="s">
        <v>389</v>
      </c>
      <c r="E628" s="27" t="s">
        <v>237</v>
      </c>
      <c r="F628" s="28"/>
      <c r="G628" s="6">
        <f t="shared" si="85"/>
        <v>5000</v>
      </c>
      <c r="H628" s="6">
        <f t="shared" si="85"/>
        <v>5000</v>
      </c>
      <c r="I628" s="6">
        <f t="shared" si="85"/>
        <v>5000</v>
      </c>
      <c r="J628" s="99">
        <f t="shared" si="81"/>
        <v>100</v>
      </c>
    </row>
    <row r="629" spans="1:10" ht="16.5" customHeight="1">
      <c r="A629" s="31" t="s">
        <v>209</v>
      </c>
      <c r="B629" s="19">
        <v>811</v>
      </c>
      <c r="C629" s="26" t="s">
        <v>383</v>
      </c>
      <c r="D629" s="26" t="s">
        <v>389</v>
      </c>
      <c r="E629" s="27" t="s">
        <v>237</v>
      </c>
      <c r="F629" s="28" t="s">
        <v>212</v>
      </c>
      <c r="G629" s="6">
        <f>13500-13500+5000</f>
        <v>5000</v>
      </c>
      <c r="H629" s="6">
        <f>13500-13500+5000</f>
        <v>5000</v>
      </c>
      <c r="I629" s="6">
        <f>13500-13500+5000</f>
        <v>5000</v>
      </c>
      <c r="J629" s="99">
        <f t="shared" si="81"/>
        <v>100</v>
      </c>
    </row>
    <row r="630" spans="1:10" ht="12" customHeight="1">
      <c r="A630" s="60"/>
      <c r="B630" s="19"/>
      <c r="C630" s="20"/>
      <c r="D630" s="20"/>
      <c r="E630" s="19"/>
      <c r="F630" s="21"/>
      <c r="G630" s="6"/>
      <c r="H630" s="6"/>
      <c r="I630" s="6"/>
      <c r="J630" s="99"/>
    </row>
    <row r="631" spans="1:10" ht="16.5" customHeight="1">
      <c r="A631" s="62" t="s">
        <v>238</v>
      </c>
      <c r="B631" s="15">
        <v>811</v>
      </c>
      <c r="C631" s="30" t="s">
        <v>384</v>
      </c>
      <c r="D631" s="30"/>
      <c r="E631" s="15"/>
      <c r="F631" s="33"/>
      <c r="G631" s="5">
        <f>G645+G660+G632</f>
        <v>220241</v>
      </c>
      <c r="H631" s="5">
        <f>H645+H660+H632</f>
        <v>221342</v>
      </c>
      <c r="I631" s="5">
        <f>I645+I660+I632</f>
        <v>215752</v>
      </c>
      <c r="J631" s="103">
        <f t="shared" si="81"/>
        <v>97.4744964805595</v>
      </c>
    </row>
    <row r="632" spans="1:10" ht="16.5" customHeight="1">
      <c r="A632" s="31" t="s">
        <v>240</v>
      </c>
      <c r="B632" s="19">
        <v>811</v>
      </c>
      <c r="C632" s="20" t="s">
        <v>384</v>
      </c>
      <c r="D632" s="20" t="s">
        <v>379</v>
      </c>
      <c r="E632" s="19"/>
      <c r="F632" s="21"/>
      <c r="G632" s="6">
        <f>G637+G633</f>
        <v>265</v>
      </c>
      <c r="H632" s="6">
        <f>H637+H633</f>
        <v>982</v>
      </c>
      <c r="I632" s="6">
        <f>I637+I633</f>
        <v>884</v>
      </c>
      <c r="J632" s="99">
        <f t="shared" si="81"/>
        <v>90.020366598778</v>
      </c>
    </row>
    <row r="633" spans="1:10" ht="16.5" customHeight="1">
      <c r="A633" s="31" t="s">
        <v>371</v>
      </c>
      <c r="B633" s="26" t="s">
        <v>482</v>
      </c>
      <c r="C633" s="26" t="s">
        <v>384</v>
      </c>
      <c r="D633" s="26" t="s">
        <v>379</v>
      </c>
      <c r="E633" s="26" t="s">
        <v>427</v>
      </c>
      <c r="F633" s="28"/>
      <c r="G633" s="6">
        <f aca="true" t="shared" si="86" ref="G633:I635">G634</f>
        <v>0</v>
      </c>
      <c r="H633" s="6">
        <f t="shared" si="86"/>
        <v>717</v>
      </c>
      <c r="I633" s="6">
        <f t="shared" si="86"/>
        <v>619</v>
      </c>
      <c r="J633" s="99">
        <f t="shared" si="81"/>
        <v>86.33193863319386</v>
      </c>
    </row>
    <row r="634" spans="1:10" ht="16.5" customHeight="1">
      <c r="A634" s="8" t="s">
        <v>426</v>
      </c>
      <c r="B634" s="26" t="s">
        <v>482</v>
      </c>
      <c r="C634" s="26" t="s">
        <v>384</v>
      </c>
      <c r="D634" s="26" t="s">
        <v>379</v>
      </c>
      <c r="E634" s="26" t="s">
        <v>428</v>
      </c>
      <c r="F634" s="28"/>
      <c r="G634" s="6">
        <f t="shared" si="86"/>
        <v>0</v>
      </c>
      <c r="H634" s="6">
        <f t="shared" si="86"/>
        <v>717</v>
      </c>
      <c r="I634" s="6">
        <f t="shared" si="86"/>
        <v>619</v>
      </c>
      <c r="J634" s="99">
        <f t="shared" si="81"/>
        <v>86.33193863319386</v>
      </c>
    </row>
    <row r="635" spans="1:10" ht="16.5" customHeight="1">
      <c r="A635" s="67" t="s">
        <v>469</v>
      </c>
      <c r="B635" s="26" t="s">
        <v>482</v>
      </c>
      <c r="C635" s="26" t="s">
        <v>384</v>
      </c>
      <c r="D635" s="26" t="s">
        <v>379</v>
      </c>
      <c r="E635" s="26" t="s">
        <v>311</v>
      </c>
      <c r="F635" s="28"/>
      <c r="G635" s="6">
        <f t="shared" si="86"/>
        <v>0</v>
      </c>
      <c r="H635" s="6">
        <f t="shared" si="86"/>
        <v>717</v>
      </c>
      <c r="I635" s="6">
        <f t="shared" si="86"/>
        <v>619</v>
      </c>
      <c r="J635" s="99">
        <f t="shared" si="81"/>
        <v>86.33193863319386</v>
      </c>
    </row>
    <row r="636" spans="1:10" ht="16.5" customHeight="1">
      <c r="A636" s="60" t="s">
        <v>419</v>
      </c>
      <c r="B636" s="26" t="s">
        <v>482</v>
      </c>
      <c r="C636" s="26" t="s">
        <v>384</v>
      </c>
      <c r="D636" s="26" t="s">
        <v>379</v>
      </c>
      <c r="E636" s="26" t="s">
        <v>312</v>
      </c>
      <c r="F636" s="28" t="s">
        <v>420</v>
      </c>
      <c r="G636" s="6">
        <v>0</v>
      </c>
      <c r="H636" s="6">
        <v>717</v>
      </c>
      <c r="I636" s="6">
        <v>619</v>
      </c>
      <c r="J636" s="99">
        <f t="shared" si="81"/>
        <v>86.33193863319386</v>
      </c>
    </row>
    <row r="637" spans="1:10" ht="32.25" customHeight="1">
      <c r="A637" s="31" t="s">
        <v>218</v>
      </c>
      <c r="B637" s="19">
        <v>811</v>
      </c>
      <c r="C637" s="20" t="s">
        <v>384</v>
      </c>
      <c r="D637" s="20" t="s">
        <v>379</v>
      </c>
      <c r="E637" s="27" t="s">
        <v>220</v>
      </c>
      <c r="F637" s="28"/>
      <c r="G637" s="6">
        <f aca="true" t="shared" si="87" ref="G637:I639">G638</f>
        <v>265</v>
      </c>
      <c r="H637" s="6">
        <f t="shared" si="87"/>
        <v>265</v>
      </c>
      <c r="I637" s="6">
        <f t="shared" si="87"/>
        <v>265</v>
      </c>
      <c r="J637" s="99">
        <f t="shared" si="81"/>
        <v>100</v>
      </c>
    </row>
    <row r="638" spans="1:10" ht="66" customHeight="1">
      <c r="A638" s="70" t="s">
        <v>472</v>
      </c>
      <c r="B638" s="19">
        <v>811</v>
      </c>
      <c r="C638" s="20" t="s">
        <v>384</v>
      </c>
      <c r="D638" s="20" t="s">
        <v>379</v>
      </c>
      <c r="E638" s="27" t="s">
        <v>474</v>
      </c>
      <c r="F638" s="28"/>
      <c r="G638" s="6">
        <f t="shared" si="87"/>
        <v>265</v>
      </c>
      <c r="H638" s="6">
        <f t="shared" si="87"/>
        <v>265</v>
      </c>
      <c r="I638" s="6">
        <f t="shared" si="87"/>
        <v>265</v>
      </c>
      <c r="J638" s="99">
        <f t="shared" si="81"/>
        <v>100</v>
      </c>
    </row>
    <row r="639" spans="1:10" ht="32.25" customHeight="1">
      <c r="A639" s="60" t="s">
        <v>473</v>
      </c>
      <c r="B639" s="19">
        <v>811</v>
      </c>
      <c r="C639" s="20" t="s">
        <v>384</v>
      </c>
      <c r="D639" s="20" t="s">
        <v>379</v>
      </c>
      <c r="E639" s="27" t="s">
        <v>475</v>
      </c>
      <c r="F639" s="28"/>
      <c r="G639" s="6">
        <f t="shared" si="87"/>
        <v>265</v>
      </c>
      <c r="H639" s="6">
        <f t="shared" si="87"/>
        <v>265</v>
      </c>
      <c r="I639" s="6">
        <f t="shared" si="87"/>
        <v>265</v>
      </c>
      <c r="J639" s="99">
        <f t="shared" si="81"/>
        <v>100</v>
      </c>
    </row>
    <row r="640" spans="1:10" ht="16.5" customHeight="1">
      <c r="A640" s="31" t="s">
        <v>209</v>
      </c>
      <c r="B640" s="19">
        <v>811</v>
      </c>
      <c r="C640" s="20" t="s">
        <v>384</v>
      </c>
      <c r="D640" s="20" t="s">
        <v>379</v>
      </c>
      <c r="E640" s="27" t="s">
        <v>475</v>
      </c>
      <c r="F640" s="28" t="s">
        <v>212</v>
      </c>
      <c r="G640" s="6">
        <f>682-417</f>
        <v>265</v>
      </c>
      <c r="H640" s="6">
        <f>682-417</f>
        <v>265</v>
      </c>
      <c r="I640" s="6">
        <f>682-417</f>
        <v>265</v>
      </c>
      <c r="J640" s="99">
        <f t="shared" si="81"/>
        <v>100</v>
      </c>
    </row>
    <row r="641" spans="1:10" ht="17.25" customHeight="1" hidden="1">
      <c r="A641" s="23" t="s">
        <v>199</v>
      </c>
      <c r="B641" s="19">
        <v>811</v>
      </c>
      <c r="C641" s="20" t="s">
        <v>384</v>
      </c>
      <c r="D641" s="20" t="s">
        <v>379</v>
      </c>
      <c r="E641" s="19" t="s">
        <v>417</v>
      </c>
      <c r="F641" s="21"/>
      <c r="G641" s="6">
        <f aca="true" t="shared" si="88" ref="G641:I642">G642</f>
        <v>0</v>
      </c>
      <c r="H641" s="6">
        <f t="shared" si="88"/>
        <v>0</v>
      </c>
      <c r="I641" s="6">
        <f t="shared" si="88"/>
        <v>0</v>
      </c>
      <c r="J641" s="99" t="e">
        <f t="shared" si="81"/>
        <v>#DIV/0!</v>
      </c>
    </row>
    <row r="642" spans="1:10" ht="33" customHeight="1" hidden="1">
      <c r="A642" s="31" t="s">
        <v>588</v>
      </c>
      <c r="B642" s="19">
        <v>811</v>
      </c>
      <c r="C642" s="20" t="s">
        <v>384</v>
      </c>
      <c r="D642" s="20" t="s">
        <v>379</v>
      </c>
      <c r="E642" s="19" t="s">
        <v>589</v>
      </c>
      <c r="F642" s="21"/>
      <c r="G642" s="6">
        <f t="shared" si="88"/>
        <v>0</v>
      </c>
      <c r="H642" s="6">
        <f t="shared" si="88"/>
        <v>0</v>
      </c>
      <c r="I642" s="6">
        <f t="shared" si="88"/>
        <v>0</v>
      </c>
      <c r="J642" s="99" t="e">
        <f t="shared" si="81"/>
        <v>#DIV/0!</v>
      </c>
    </row>
    <row r="643" spans="1:10" ht="17.25" customHeight="1" hidden="1">
      <c r="A643" s="31" t="s">
        <v>209</v>
      </c>
      <c r="B643" s="19">
        <v>811</v>
      </c>
      <c r="C643" s="20" t="s">
        <v>384</v>
      </c>
      <c r="D643" s="20" t="s">
        <v>379</v>
      </c>
      <c r="E643" s="19" t="s">
        <v>589</v>
      </c>
      <c r="F643" s="21" t="s">
        <v>212</v>
      </c>
      <c r="G643" s="6">
        <f>20000-16000-4000</f>
        <v>0</v>
      </c>
      <c r="H643" s="6">
        <f>20000-16000-4000</f>
        <v>0</v>
      </c>
      <c r="I643" s="6">
        <f>20000-16000-4000</f>
        <v>0</v>
      </c>
      <c r="J643" s="99" t="e">
        <f t="shared" si="81"/>
        <v>#DIV/0!</v>
      </c>
    </row>
    <row r="644" spans="1:10" ht="12" customHeight="1">
      <c r="A644" s="62"/>
      <c r="B644" s="15"/>
      <c r="C644" s="30"/>
      <c r="D644" s="30"/>
      <c r="E644" s="15"/>
      <c r="F644" s="33"/>
      <c r="G644" s="5"/>
      <c r="H644" s="5"/>
      <c r="I644" s="5"/>
      <c r="J644" s="99"/>
    </row>
    <row r="645" spans="1:10" ht="16.5" customHeight="1">
      <c r="A645" s="31" t="s">
        <v>436</v>
      </c>
      <c r="B645" s="19">
        <v>811</v>
      </c>
      <c r="C645" s="20" t="s">
        <v>384</v>
      </c>
      <c r="D645" s="20" t="s">
        <v>380</v>
      </c>
      <c r="E645" s="19"/>
      <c r="F645" s="21"/>
      <c r="G645" s="6">
        <f>G646+G654+G650</f>
        <v>6905</v>
      </c>
      <c r="H645" s="6">
        <f>H646+H654+H650</f>
        <v>7289</v>
      </c>
      <c r="I645" s="6">
        <f>I646+I654+I650</f>
        <v>7067</v>
      </c>
      <c r="J645" s="99">
        <f t="shared" si="81"/>
        <v>96.95431472081218</v>
      </c>
    </row>
    <row r="646" spans="1:10" ht="33.75" customHeight="1" hidden="1">
      <c r="A646" s="31" t="s">
        <v>218</v>
      </c>
      <c r="B646" s="19">
        <v>811</v>
      </c>
      <c r="C646" s="20" t="s">
        <v>384</v>
      </c>
      <c r="D646" s="20" t="s">
        <v>380</v>
      </c>
      <c r="E646" s="27" t="s">
        <v>220</v>
      </c>
      <c r="F646" s="28"/>
      <c r="G646" s="6">
        <f aca="true" t="shared" si="89" ref="G646:I648">G647</f>
        <v>0</v>
      </c>
      <c r="H646" s="6">
        <f t="shared" si="89"/>
        <v>0</v>
      </c>
      <c r="I646" s="6">
        <f t="shared" si="89"/>
        <v>0</v>
      </c>
      <c r="J646" s="99" t="e">
        <f t="shared" si="81"/>
        <v>#DIV/0!</v>
      </c>
    </row>
    <row r="647" spans="1:10" ht="63.75" customHeight="1" hidden="1">
      <c r="A647" s="70" t="s">
        <v>472</v>
      </c>
      <c r="B647" s="19">
        <v>811</v>
      </c>
      <c r="C647" s="20" t="s">
        <v>384</v>
      </c>
      <c r="D647" s="20" t="s">
        <v>380</v>
      </c>
      <c r="E647" s="55" t="s">
        <v>474</v>
      </c>
      <c r="F647" s="28"/>
      <c r="G647" s="6">
        <f t="shared" si="89"/>
        <v>0</v>
      </c>
      <c r="H647" s="6">
        <f t="shared" si="89"/>
        <v>0</v>
      </c>
      <c r="I647" s="6">
        <f t="shared" si="89"/>
        <v>0</v>
      </c>
      <c r="J647" s="99" t="e">
        <f t="shared" si="81"/>
        <v>#DIV/0!</v>
      </c>
    </row>
    <row r="648" spans="1:10" ht="33" customHeight="1" hidden="1">
      <c r="A648" s="60" t="s">
        <v>473</v>
      </c>
      <c r="B648" s="19">
        <v>811</v>
      </c>
      <c r="C648" s="54" t="s">
        <v>384</v>
      </c>
      <c r="D648" s="54" t="s">
        <v>380</v>
      </c>
      <c r="E648" s="55" t="s">
        <v>475</v>
      </c>
      <c r="F648" s="28"/>
      <c r="G648" s="6">
        <f t="shared" si="89"/>
        <v>0</v>
      </c>
      <c r="H648" s="6">
        <f t="shared" si="89"/>
        <v>0</v>
      </c>
      <c r="I648" s="6">
        <f t="shared" si="89"/>
        <v>0</v>
      </c>
      <c r="J648" s="99" t="e">
        <f t="shared" si="81"/>
        <v>#DIV/0!</v>
      </c>
    </row>
    <row r="649" spans="1:10" ht="17.25" customHeight="1" hidden="1">
      <c r="A649" s="31" t="s">
        <v>209</v>
      </c>
      <c r="B649" s="19">
        <v>811</v>
      </c>
      <c r="C649" s="20" t="s">
        <v>384</v>
      </c>
      <c r="D649" s="20" t="s">
        <v>380</v>
      </c>
      <c r="E649" s="55" t="s">
        <v>475</v>
      </c>
      <c r="F649" s="28" t="s">
        <v>212</v>
      </c>
      <c r="G649" s="6">
        <f>1002-1002</f>
        <v>0</v>
      </c>
      <c r="H649" s="6">
        <f>1002-1002</f>
        <v>0</v>
      </c>
      <c r="I649" s="6">
        <f>1002-1002</f>
        <v>0</v>
      </c>
      <c r="J649" s="99" t="e">
        <f t="shared" si="81"/>
        <v>#DIV/0!</v>
      </c>
    </row>
    <row r="650" spans="1:10" ht="16.5" customHeight="1">
      <c r="A650" s="31" t="s">
        <v>371</v>
      </c>
      <c r="B650" s="26" t="s">
        <v>482</v>
      </c>
      <c r="C650" s="26" t="s">
        <v>384</v>
      </c>
      <c r="D650" s="26" t="s">
        <v>380</v>
      </c>
      <c r="E650" s="26" t="s">
        <v>427</v>
      </c>
      <c r="F650" s="28"/>
      <c r="G650" s="6">
        <f aca="true" t="shared" si="90" ref="G650:I652">G651</f>
        <v>0</v>
      </c>
      <c r="H650" s="6">
        <f t="shared" si="90"/>
        <v>384</v>
      </c>
      <c r="I650" s="6">
        <f t="shared" si="90"/>
        <v>180</v>
      </c>
      <c r="J650" s="99">
        <f t="shared" si="81"/>
        <v>46.875</v>
      </c>
    </row>
    <row r="651" spans="1:10" ht="16.5" customHeight="1">
      <c r="A651" s="8" t="s">
        <v>426</v>
      </c>
      <c r="B651" s="26" t="s">
        <v>482</v>
      </c>
      <c r="C651" s="26" t="s">
        <v>384</v>
      </c>
      <c r="D651" s="26" t="s">
        <v>380</v>
      </c>
      <c r="E651" s="26" t="s">
        <v>428</v>
      </c>
      <c r="F651" s="28"/>
      <c r="G651" s="6">
        <f t="shared" si="90"/>
        <v>0</v>
      </c>
      <c r="H651" s="6">
        <f t="shared" si="90"/>
        <v>384</v>
      </c>
      <c r="I651" s="6">
        <f t="shared" si="90"/>
        <v>180</v>
      </c>
      <c r="J651" s="99">
        <f t="shared" si="81"/>
        <v>46.875</v>
      </c>
    </row>
    <row r="652" spans="1:10" ht="16.5" customHeight="1">
      <c r="A652" s="67" t="s">
        <v>469</v>
      </c>
      <c r="B652" s="26" t="s">
        <v>482</v>
      </c>
      <c r="C652" s="26" t="s">
        <v>384</v>
      </c>
      <c r="D652" s="26" t="s">
        <v>380</v>
      </c>
      <c r="E652" s="26" t="s">
        <v>311</v>
      </c>
      <c r="F652" s="28"/>
      <c r="G652" s="6">
        <f t="shared" si="90"/>
        <v>0</v>
      </c>
      <c r="H652" s="6">
        <f t="shared" si="90"/>
        <v>384</v>
      </c>
      <c r="I652" s="6">
        <f t="shared" si="90"/>
        <v>180</v>
      </c>
      <c r="J652" s="99">
        <f t="shared" si="81"/>
        <v>46.875</v>
      </c>
    </row>
    <row r="653" spans="1:10" ht="16.5" customHeight="1">
      <c r="A653" s="60" t="s">
        <v>419</v>
      </c>
      <c r="B653" s="26" t="s">
        <v>482</v>
      </c>
      <c r="C653" s="26" t="s">
        <v>384</v>
      </c>
      <c r="D653" s="26" t="s">
        <v>380</v>
      </c>
      <c r="E653" s="26" t="s">
        <v>312</v>
      </c>
      <c r="F653" s="28" t="s">
        <v>420</v>
      </c>
      <c r="G653" s="6">
        <v>0</v>
      </c>
      <c r="H653" s="6">
        <v>384</v>
      </c>
      <c r="I653" s="6">
        <v>180</v>
      </c>
      <c r="J653" s="99">
        <f aca="true" t="shared" si="91" ref="J653:J716">I653/H653*100</f>
        <v>46.875</v>
      </c>
    </row>
    <row r="654" spans="1:10" ht="16.5" customHeight="1">
      <c r="A654" s="23" t="s">
        <v>199</v>
      </c>
      <c r="B654" s="19">
        <v>811</v>
      </c>
      <c r="C654" s="20" t="s">
        <v>384</v>
      </c>
      <c r="D654" s="20" t="s">
        <v>380</v>
      </c>
      <c r="E654" s="55" t="s">
        <v>417</v>
      </c>
      <c r="F654" s="28"/>
      <c r="G654" s="6">
        <f>G655+G657</f>
        <v>6905</v>
      </c>
      <c r="H654" s="6">
        <f>H655+H657</f>
        <v>6905</v>
      </c>
      <c r="I654" s="6">
        <f>I655+I657</f>
        <v>6887</v>
      </c>
      <c r="J654" s="99">
        <f t="shared" si="91"/>
        <v>99.73931933381608</v>
      </c>
    </row>
    <row r="655" spans="1:10" ht="32.25" customHeight="1">
      <c r="A655" s="31" t="s">
        <v>491</v>
      </c>
      <c r="B655" s="19">
        <v>811</v>
      </c>
      <c r="C655" s="20" t="s">
        <v>384</v>
      </c>
      <c r="D655" s="20" t="s">
        <v>380</v>
      </c>
      <c r="E655" s="55" t="s">
        <v>583</v>
      </c>
      <c r="F655" s="28"/>
      <c r="G655" s="6">
        <f>G656</f>
        <v>6405</v>
      </c>
      <c r="H655" s="6">
        <f>H656</f>
        <v>6405</v>
      </c>
      <c r="I655" s="6">
        <f>I656</f>
        <v>6405</v>
      </c>
      <c r="J655" s="99">
        <f t="shared" si="91"/>
        <v>100</v>
      </c>
    </row>
    <row r="656" spans="1:10" ht="16.5" customHeight="1">
      <c r="A656" s="31" t="s">
        <v>209</v>
      </c>
      <c r="B656" s="19">
        <v>811</v>
      </c>
      <c r="C656" s="20" t="s">
        <v>384</v>
      </c>
      <c r="D656" s="20" t="s">
        <v>380</v>
      </c>
      <c r="E656" s="55" t="s">
        <v>241</v>
      </c>
      <c r="F656" s="28" t="s">
        <v>212</v>
      </c>
      <c r="G656" s="6">
        <f>10300-3895</f>
        <v>6405</v>
      </c>
      <c r="H656" s="6">
        <f>10300-3895</f>
        <v>6405</v>
      </c>
      <c r="I656" s="6">
        <f>10300-3895</f>
        <v>6405</v>
      </c>
      <c r="J656" s="99">
        <f t="shared" si="91"/>
        <v>100</v>
      </c>
    </row>
    <row r="657" spans="1:10" ht="32.25" customHeight="1">
      <c r="A657" s="31" t="s">
        <v>588</v>
      </c>
      <c r="B657" s="19">
        <v>811</v>
      </c>
      <c r="C657" s="20" t="s">
        <v>384</v>
      </c>
      <c r="D657" s="20" t="s">
        <v>380</v>
      </c>
      <c r="E657" s="55" t="s">
        <v>589</v>
      </c>
      <c r="F657" s="28"/>
      <c r="G657" s="6">
        <f>G658</f>
        <v>500</v>
      </c>
      <c r="H657" s="6">
        <f>H658</f>
        <v>500</v>
      </c>
      <c r="I657" s="6">
        <f>I658</f>
        <v>482</v>
      </c>
      <c r="J657" s="99">
        <f t="shared" si="91"/>
        <v>96.39999999999999</v>
      </c>
    </row>
    <row r="658" spans="1:10" ht="16.5" customHeight="1">
      <c r="A658" s="31" t="s">
        <v>209</v>
      </c>
      <c r="B658" s="19">
        <v>811</v>
      </c>
      <c r="C658" s="20" t="s">
        <v>384</v>
      </c>
      <c r="D658" s="20" t="s">
        <v>380</v>
      </c>
      <c r="E658" s="55" t="s">
        <v>589</v>
      </c>
      <c r="F658" s="28" t="s">
        <v>212</v>
      </c>
      <c r="G658" s="6">
        <f>13430-12930</f>
        <v>500</v>
      </c>
      <c r="H658" s="6">
        <f>13430-12930</f>
        <v>500</v>
      </c>
      <c r="I658" s="6">
        <v>482</v>
      </c>
      <c r="J658" s="99">
        <f t="shared" si="91"/>
        <v>96.39999999999999</v>
      </c>
    </row>
    <row r="659" spans="1:10" ht="12" customHeight="1">
      <c r="A659" s="60"/>
      <c r="B659" s="19"/>
      <c r="C659" s="20"/>
      <c r="D659" s="20"/>
      <c r="E659" s="55"/>
      <c r="F659" s="28"/>
      <c r="G659" s="6"/>
      <c r="H659" s="6"/>
      <c r="I659" s="6"/>
      <c r="J659" s="99"/>
    </row>
    <row r="660" spans="1:10" ht="16.5" customHeight="1">
      <c r="A660" s="31" t="s">
        <v>239</v>
      </c>
      <c r="B660" s="19">
        <v>811</v>
      </c>
      <c r="C660" s="20" t="s">
        <v>384</v>
      </c>
      <c r="D660" s="20" t="s">
        <v>386</v>
      </c>
      <c r="E660" s="55"/>
      <c r="F660" s="28"/>
      <c r="G660" s="6">
        <f>G661</f>
        <v>213071</v>
      </c>
      <c r="H660" s="6">
        <f>H661</f>
        <v>213071</v>
      </c>
      <c r="I660" s="6">
        <f>I661</f>
        <v>207801</v>
      </c>
      <c r="J660" s="99">
        <f t="shared" si="91"/>
        <v>97.52664604756161</v>
      </c>
    </row>
    <row r="661" spans="1:10" ht="16.5" customHeight="1">
      <c r="A661" s="23" t="s">
        <v>199</v>
      </c>
      <c r="B661" s="19">
        <v>811</v>
      </c>
      <c r="C661" s="20" t="s">
        <v>384</v>
      </c>
      <c r="D661" s="20" t="s">
        <v>386</v>
      </c>
      <c r="E661" s="55" t="s">
        <v>417</v>
      </c>
      <c r="F661" s="28"/>
      <c r="G661" s="6">
        <f>G664+G666+G679+G662</f>
        <v>213071</v>
      </c>
      <c r="H661" s="6">
        <f>H664+H666+H679+H662</f>
        <v>213071</v>
      </c>
      <c r="I661" s="6">
        <f>I664+I666+I679+I662</f>
        <v>207801</v>
      </c>
      <c r="J661" s="99">
        <f t="shared" si="91"/>
        <v>97.52664604756161</v>
      </c>
    </row>
    <row r="662" spans="1:10" ht="48.75" customHeight="1" hidden="1">
      <c r="A662" s="31" t="s">
        <v>590</v>
      </c>
      <c r="B662" s="19">
        <v>811</v>
      </c>
      <c r="C662" s="20" t="s">
        <v>384</v>
      </c>
      <c r="D662" s="20" t="s">
        <v>386</v>
      </c>
      <c r="E662" s="19" t="s">
        <v>346</v>
      </c>
      <c r="F662" s="21"/>
      <c r="G662" s="6">
        <f>G663</f>
        <v>0</v>
      </c>
      <c r="H662" s="6">
        <f>H663</f>
        <v>0</v>
      </c>
      <c r="I662" s="6">
        <f>I663</f>
        <v>0</v>
      </c>
      <c r="J662" s="99" t="e">
        <f t="shared" si="91"/>
        <v>#DIV/0!</v>
      </c>
    </row>
    <row r="663" spans="1:10" ht="16.5" customHeight="1" hidden="1">
      <c r="A663" s="31" t="s">
        <v>209</v>
      </c>
      <c r="B663" s="19">
        <v>811</v>
      </c>
      <c r="C663" s="20" t="s">
        <v>384</v>
      </c>
      <c r="D663" s="20" t="s">
        <v>386</v>
      </c>
      <c r="E663" s="19" t="s">
        <v>346</v>
      </c>
      <c r="F663" s="21" t="s">
        <v>212</v>
      </c>
      <c r="G663" s="6">
        <f>2100-2100</f>
        <v>0</v>
      </c>
      <c r="H663" s="6">
        <f>2100-2100</f>
        <v>0</v>
      </c>
      <c r="I663" s="6">
        <f>2100-2100</f>
        <v>0</v>
      </c>
      <c r="J663" s="99" t="e">
        <f t="shared" si="91"/>
        <v>#DIV/0!</v>
      </c>
    </row>
    <row r="664" spans="1:10" ht="33" customHeight="1" hidden="1">
      <c r="A664" s="60" t="s">
        <v>617</v>
      </c>
      <c r="B664" s="19">
        <v>811</v>
      </c>
      <c r="C664" s="20" t="s">
        <v>384</v>
      </c>
      <c r="D664" s="20" t="s">
        <v>386</v>
      </c>
      <c r="E664" s="55" t="s">
        <v>591</v>
      </c>
      <c r="F664" s="28"/>
      <c r="G664" s="6">
        <f>G665</f>
        <v>0</v>
      </c>
      <c r="H664" s="6">
        <f>H665</f>
        <v>0</v>
      </c>
      <c r="I664" s="6">
        <f>I665</f>
        <v>0</v>
      </c>
      <c r="J664" s="99" t="e">
        <f t="shared" si="91"/>
        <v>#DIV/0!</v>
      </c>
    </row>
    <row r="665" spans="1:10" ht="17.25" customHeight="1" hidden="1">
      <c r="A665" s="60" t="s">
        <v>419</v>
      </c>
      <c r="B665" s="19">
        <v>811</v>
      </c>
      <c r="C665" s="20" t="s">
        <v>384</v>
      </c>
      <c r="D665" s="20" t="s">
        <v>386</v>
      </c>
      <c r="E665" s="55" t="s">
        <v>591</v>
      </c>
      <c r="F665" s="28" t="s">
        <v>420</v>
      </c>
      <c r="G665" s="6">
        <f>9300-9300</f>
        <v>0</v>
      </c>
      <c r="H665" s="6">
        <f>9300-9300</f>
        <v>0</v>
      </c>
      <c r="I665" s="6">
        <f>9300-9300</f>
        <v>0</v>
      </c>
      <c r="J665" s="99" t="e">
        <f t="shared" si="91"/>
        <v>#DIV/0!</v>
      </c>
    </row>
    <row r="666" spans="1:10" ht="32.25" customHeight="1">
      <c r="A666" s="8" t="s">
        <v>501</v>
      </c>
      <c r="B666" s="19">
        <v>811</v>
      </c>
      <c r="C666" s="26" t="s">
        <v>384</v>
      </c>
      <c r="D666" s="26" t="s">
        <v>386</v>
      </c>
      <c r="E666" s="27" t="s">
        <v>242</v>
      </c>
      <c r="F666" s="28"/>
      <c r="G666" s="6">
        <f>G667+G669+G671+G673+G675+G677</f>
        <v>200394</v>
      </c>
      <c r="H666" s="6">
        <f>H667+H669+H671+H673+H675+H677</f>
        <v>200394</v>
      </c>
      <c r="I666" s="6">
        <f>I667+I669+I671+I673+I675+I677</f>
        <v>195180</v>
      </c>
      <c r="J666" s="99">
        <f t="shared" si="91"/>
        <v>97.39812569238599</v>
      </c>
    </row>
    <row r="667" spans="1:10" ht="16.5" customHeight="1">
      <c r="A667" s="8" t="s">
        <v>593</v>
      </c>
      <c r="B667" s="19">
        <v>811</v>
      </c>
      <c r="C667" s="26" t="s">
        <v>384</v>
      </c>
      <c r="D667" s="26" t="s">
        <v>386</v>
      </c>
      <c r="E667" s="27" t="s">
        <v>594</v>
      </c>
      <c r="F667" s="28"/>
      <c r="G667" s="6">
        <f>G668</f>
        <v>72997</v>
      </c>
      <c r="H667" s="6">
        <f>H668</f>
        <v>72997</v>
      </c>
      <c r="I667" s="6">
        <f>I668</f>
        <v>69300</v>
      </c>
      <c r="J667" s="99">
        <f t="shared" si="91"/>
        <v>94.93540830445086</v>
      </c>
    </row>
    <row r="668" spans="1:10" ht="16.5" customHeight="1">
      <c r="A668" s="60" t="s">
        <v>419</v>
      </c>
      <c r="B668" s="19">
        <v>811</v>
      </c>
      <c r="C668" s="26" t="s">
        <v>384</v>
      </c>
      <c r="D668" s="26" t="s">
        <v>386</v>
      </c>
      <c r="E668" s="27" t="s">
        <v>594</v>
      </c>
      <c r="F668" s="28" t="s">
        <v>420</v>
      </c>
      <c r="G668" s="6">
        <f>103221-29500-724</f>
        <v>72997</v>
      </c>
      <c r="H668" s="6">
        <f>103221-29500-724</f>
        <v>72997</v>
      </c>
      <c r="I668" s="6">
        <v>69300</v>
      </c>
      <c r="J668" s="99">
        <f t="shared" si="91"/>
        <v>94.93540830445086</v>
      </c>
    </row>
    <row r="669" spans="1:10" ht="32.25" customHeight="1">
      <c r="A669" s="60" t="s">
        <v>595</v>
      </c>
      <c r="B669" s="19">
        <v>811</v>
      </c>
      <c r="C669" s="26" t="s">
        <v>384</v>
      </c>
      <c r="D669" s="26" t="s">
        <v>386</v>
      </c>
      <c r="E669" s="27" t="s">
        <v>596</v>
      </c>
      <c r="F669" s="28"/>
      <c r="G669" s="6">
        <f>G670</f>
        <v>115281</v>
      </c>
      <c r="H669" s="6">
        <f>H670</f>
        <v>115281</v>
      </c>
      <c r="I669" s="6">
        <f>I670</f>
        <v>114046</v>
      </c>
      <c r="J669" s="99">
        <f t="shared" si="91"/>
        <v>98.92870464343648</v>
      </c>
    </row>
    <row r="670" spans="1:10" ht="16.5" customHeight="1">
      <c r="A670" s="60" t="s">
        <v>419</v>
      </c>
      <c r="B670" s="19">
        <v>811</v>
      </c>
      <c r="C670" s="26" t="s">
        <v>384</v>
      </c>
      <c r="D670" s="26" t="s">
        <v>386</v>
      </c>
      <c r="E670" s="27" t="s">
        <v>596</v>
      </c>
      <c r="F670" s="28" t="s">
        <v>420</v>
      </c>
      <c r="G670" s="6">
        <f>123300-8800+781</f>
        <v>115281</v>
      </c>
      <c r="H670" s="6">
        <f>123300-8800+781</f>
        <v>115281</v>
      </c>
      <c r="I670" s="6">
        <v>114046</v>
      </c>
      <c r="J670" s="99">
        <f t="shared" si="91"/>
        <v>98.92870464343648</v>
      </c>
    </row>
    <row r="671" spans="1:10" ht="16.5" customHeight="1">
      <c r="A671" s="8" t="s">
        <v>597</v>
      </c>
      <c r="B671" s="19">
        <v>811</v>
      </c>
      <c r="C671" s="26" t="s">
        <v>384</v>
      </c>
      <c r="D671" s="26" t="s">
        <v>386</v>
      </c>
      <c r="E671" s="27" t="s">
        <v>598</v>
      </c>
      <c r="F671" s="28"/>
      <c r="G671" s="6">
        <f>G672</f>
        <v>3021</v>
      </c>
      <c r="H671" s="6">
        <f>H672</f>
        <v>3021</v>
      </c>
      <c r="I671" s="6">
        <f>I672</f>
        <v>3009</v>
      </c>
      <c r="J671" s="99">
        <f t="shared" si="91"/>
        <v>99.60278053624627</v>
      </c>
    </row>
    <row r="672" spans="1:10" ht="16.5" customHeight="1">
      <c r="A672" s="60" t="s">
        <v>419</v>
      </c>
      <c r="B672" s="19">
        <v>811</v>
      </c>
      <c r="C672" s="26" t="s">
        <v>384</v>
      </c>
      <c r="D672" s="26" t="s">
        <v>386</v>
      </c>
      <c r="E672" s="27" t="s">
        <v>598</v>
      </c>
      <c r="F672" s="28" t="s">
        <v>420</v>
      </c>
      <c r="G672" s="6">
        <f>3957-936</f>
        <v>3021</v>
      </c>
      <c r="H672" s="6">
        <f>3957-936</f>
        <v>3021</v>
      </c>
      <c r="I672" s="6">
        <v>3009</v>
      </c>
      <c r="J672" s="99">
        <f t="shared" si="91"/>
        <v>99.60278053624627</v>
      </c>
    </row>
    <row r="673" spans="1:10" ht="16.5" customHeight="1">
      <c r="A673" s="8" t="s">
        <v>599</v>
      </c>
      <c r="B673" s="19">
        <v>811</v>
      </c>
      <c r="C673" s="26" t="s">
        <v>384</v>
      </c>
      <c r="D673" s="26" t="s">
        <v>386</v>
      </c>
      <c r="E673" s="27" t="s">
        <v>600</v>
      </c>
      <c r="F673" s="28"/>
      <c r="G673" s="6">
        <f>G674</f>
        <v>6152</v>
      </c>
      <c r="H673" s="6">
        <f>H674</f>
        <v>6152</v>
      </c>
      <c r="I673" s="6">
        <f>I674</f>
        <v>5924</v>
      </c>
      <c r="J673" s="99">
        <f t="shared" si="91"/>
        <v>96.29388816644993</v>
      </c>
    </row>
    <row r="674" spans="1:10" ht="16.5" customHeight="1">
      <c r="A674" s="60" t="s">
        <v>419</v>
      </c>
      <c r="B674" s="19">
        <v>811</v>
      </c>
      <c r="C674" s="26" t="s">
        <v>384</v>
      </c>
      <c r="D674" s="26" t="s">
        <v>386</v>
      </c>
      <c r="E674" s="27" t="s">
        <v>600</v>
      </c>
      <c r="F674" s="28" t="s">
        <v>420</v>
      </c>
      <c r="G674" s="6">
        <f>12380-6228</f>
        <v>6152</v>
      </c>
      <c r="H674" s="6">
        <f>12380-6228</f>
        <v>6152</v>
      </c>
      <c r="I674" s="6">
        <v>5924</v>
      </c>
      <c r="J674" s="99">
        <f t="shared" si="91"/>
        <v>96.29388816644993</v>
      </c>
    </row>
    <row r="675" spans="1:10" ht="16.5" customHeight="1">
      <c r="A675" s="8" t="s">
        <v>601</v>
      </c>
      <c r="B675" s="19">
        <v>811</v>
      </c>
      <c r="C675" s="26" t="s">
        <v>384</v>
      </c>
      <c r="D675" s="26" t="s">
        <v>386</v>
      </c>
      <c r="E675" s="27" t="s">
        <v>602</v>
      </c>
      <c r="F675" s="28"/>
      <c r="G675" s="6">
        <f>G676</f>
        <v>492</v>
      </c>
      <c r="H675" s="6">
        <f>H676</f>
        <v>492</v>
      </c>
      <c r="I675" s="6">
        <f>I676</f>
        <v>488</v>
      </c>
      <c r="J675" s="99">
        <f t="shared" si="91"/>
        <v>99.1869918699187</v>
      </c>
    </row>
    <row r="676" spans="1:10" ht="16.5" customHeight="1">
      <c r="A676" s="60" t="s">
        <v>419</v>
      </c>
      <c r="B676" s="19">
        <v>811</v>
      </c>
      <c r="C676" s="26" t="s">
        <v>384</v>
      </c>
      <c r="D676" s="26" t="s">
        <v>386</v>
      </c>
      <c r="E676" s="27" t="s">
        <v>602</v>
      </c>
      <c r="F676" s="28" t="s">
        <v>420</v>
      </c>
      <c r="G676" s="6">
        <f>800-300-8</f>
        <v>492</v>
      </c>
      <c r="H676" s="6">
        <f>800-300-8</f>
        <v>492</v>
      </c>
      <c r="I676" s="6">
        <v>488</v>
      </c>
      <c r="J676" s="99">
        <f t="shared" si="91"/>
        <v>99.1869918699187</v>
      </c>
    </row>
    <row r="677" spans="1:10" ht="32.25" customHeight="1">
      <c r="A677" s="8" t="s">
        <v>603</v>
      </c>
      <c r="B677" s="19">
        <v>811</v>
      </c>
      <c r="C677" s="26" t="s">
        <v>384</v>
      </c>
      <c r="D677" s="26" t="s">
        <v>386</v>
      </c>
      <c r="E677" s="27" t="s">
        <v>604</v>
      </c>
      <c r="F677" s="28"/>
      <c r="G677" s="6">
        <f>G678</f>
        <v>2451</v>
      </c>
      <c r="H677" s="6">
        <f>H678</f>
        <v>2451</v>
      </c>
      <c r="I677" s="6">
        <f>I678</f>
        <v>2413</v>
      </c>
      <c r="J677" s="99">
        <f t="shared" si="91"/>
        <v>98.44961240310077</v>
      </c>
    </row>
    <row r="678" spans="1:10" ht="16.5" customHeight="1">
      <c r="A678" s="60" t="s">
        <v>419</v>
      </c>
      <c r="B678" s="19">
        <v>811</v>
      </c>
      <c r="C678" s="26" t="s">
        <v>384</v>
      </c>
      <c r="D678" s="26" t="s">
        <v>386</v>
      </c>
      <c r="E678" s="27" t="s">
        <v>604</v>
      </c>
      <c r="F678" s="28" t="s">
        <v>420</v>
      </c>
      <c r="G678" s="6">
        <f>5000-2500-49</f>
        <v>2451</v>
      </c>
      <c r="H678" s="6">
        <f>5000-2500-49</f>
        <v>2451</v>
      </c>
      <c r="I678" s="6">
        <v>2413</v>
      </c>
      <c r="J678" s="99">
        <f t="shared" si="91"/>
        <v>98.44961240310077</v>
      </c>
    </row>
    <row r="679" spans="1:10" ht="32.25" customHeight="1">
      <c r="A679" s="31" t="s">
        <v>497</v>
      </c>
      <c r="B679" s="19">
        <v>811</v>
      </c>
      <c r="C679" s="26" t="s">
        <v>384</v>
      </c>
      <c r="D679" s="26" t="s">
        <v>386</v>
      </c>
      <c r="E679" s="27" t="s">
        <v>243</v>
      </c>
      <c r="F679" s="28"/>
      <c r="G679" s="6">
        <f>G680+G682+G686+G684+G688</f>
        <v>12677</v>
      </c>
      <c r="H679" s="6">
        <f>H680+H682+H686+H684+H688</f>
        <v>12677</v>
      </c>
      <c r="I679" s="6">
        <f>I680+I682+I686+I684+I688</f>
        <v>12621</v>
      </c>
      <c r="J679" s="99">
        <f t="shared" si="91"/>
        <v>99.55825510767532</v>
      </c>
    </row>
    <row r="680" spans="1:10" ht="32.25" customHeight="1">
      <c r="A680" s="31" t="s">
        <v>609</v>
      </c>
      <c r="B680" s="19">
        <v>811</v>
      </c>
      <c r="C680" s="26" t="s">
        <v>384</v>
      </c>
      <c r="D680" s="26" t="s">
        <v>386</v>
      </c>
      <c r="E680" s="27" t="s">
        <v>610</v>
      </c>
      <c r="F680" s="28"/>
      <c r="G680" s="6">
        <f>G681</f>
        <v>4029</v>
      </c>
      <c r="H680" s="6">
        <f>H681</f>
        <v>4029</v>
      </c>
      <c r="I680" s="6">
        <f>I681</f>
        <v>4005</v>
      </c>
      <c r="J680" s="99">
        <f t="shared" si="91"/>
        <v>99.40431868950111</v>
      </c>
    </row>
    <row r="681" spans="1:10" ht="16.5" customHeight="1">
      <c r="A681" s="60" t="s">
        <v>419</v>
      </c>
      <c r="B681" s="19">
        <v>811</v>
      </c>
      <c r="C681" s="26" t="s">
        <v>384</v>
      </c>
      <c r="D681" s="26" t="s">
        <v>386</v>
      </c>
      <c r="E681" s="27" t="s">
        <v>610</v>
      </c>
      <c r="F681" s="28" t="s">
        <v>420</v>
      </c>
      <c r="G681" s="6">
        <f>2894+1135</f>
        <v>4029</v>
      </c>
      <c r="H681" s="6">
        <f>2894+1135</f>
        <v>4029</v>
      </c>
      <c r="I681" s="6">
        <v>4005</v>
      </c>
      <c r="J681" s="99">
        <f t="shared" si="91"/>
        <v>99.40431868950111</v>
      </c>
    </row>
    <row r="682" spans="1:10" ht="32.25" customHeight="1">
      <c r="A682" s="31" t="s">
        <v>611</v>
      </c>
      <c r="B682" s="19">
        <v>811</v>
      </c>
      <c r="C682" s="26" t="s">
        <v>384</v>
      </c>
      <c r="D682" s="26" t="s">
        <v>386</v>
      </c>
      <c r="E682" s="27" t="s">
        <v>612</v>
      </c>
      <c r="F682" s="28"/>
      <c r="G682" s="6">
        <f>G683</f>
        <v>7398</v>
      </c>
      <c r="H682" s="6">
        <f>H683</f>
        <v>7398</v>
      </c>
      <c r="I682" s="6">
        <f>I683</f>
        <v>7369</v>
      </c>
      <c r="J682" s="99">
        <f t="shared" si="91"/>
        <v>99.60800216274669</v>
      </c>
    </row>
    <row r="683" spans="1:10" ht="16.5" customHeight="1">
      <c r="A683" s="60" t="s">
        <v>419</v>
      </c>
      <c r="B683" s="19">
        <v>811</v>
      </c>
      <c r="C683" s="26" t="s">
        <v>384</v>
      </c>
      <c r="D683" s="26" t="s">
        <v>386</v>
      </c>
      <c r="E683" s="27" t="s">
        <v>612</v>
      </c>
      <c r="F683" s="28" t="s">
        <v>420</v>
      </c>
      <c r="G683" s="6">
        <f>9132-1734</f>
        <v>7398</v>
      </c>
      <c r="H683" s="6">
        <f>9132-1734</f>
        <v>7398</v>
      </c>
      <c r="I683" s="6">
        <v>7369</v>
      </c>
      <c r="J683" s="99">
        <f t="shared" si="91"/>
        <v>99.60800216274669</v>
      </c>
    </row>
    <row r="684" spans="1:10" ht="16.5" customHeight="1">
      <c r="A684" s="31" t="s">
        <v>119</v>
      </c>
      <c r="B684" s="19">
        <v>811</v>
      </c>
      <c r="C684" s="26" t="s">
        <v>384</v>
      </c>
      <c r="D684" s="26" t="s">
        <v>386</v>
      </c>
      <c r="E684" s="27" t="s">
        <v>120</v>
      </c>
      <c r="F684" s="28"/>
      <c r="G684" s="6">
        <f>G685</f>
        <v>1</v>
      </c>
      <c r="H684" s="6">
        <f>H685</f>
        <v>1</v>
      </c>
      <c r="I684" s="6">
        <f>I685</f>
        <v>1</v>
      </c>
      <c r="J684" s="99">
        <f t="shared" si="91"/>
        <v>100</v>
      </c>
    </row>
    <row r="685" spans="1:10" ht="16.5" customHeight="1">
      <c r="A685" s="60" t="s">
        <v>419</v>
      </c>
      <c r="B685" s="19">
        <v>811</v>
      </c>
      <c r="C685" s="26" t="s">
        <v>384</v>
      </c>
      <c r="D685" s="26" t="s">
        <v>386</v>
      </c>
      <c r="E685" s="27" t="s">
        <v>120</v>
      </c>
      <c r="F685" s="28" t="s">
        <v>420</v>
      </c>
      <c r="G685" s="6">
        <v>1</v>
      </c>
      <c r="H685" s="6">
        <v>1</v>
      </c>
      <c r="I685" s="6">
        <v>1</v>
      </c>
      <c r="J685" s="99">
        <f t="shared" si="91"/>
        <v>100</v>
      </c>
    </row>
    <row r="686" spans="1:10" ht="16.5" customHeight="1">
      <c r="A686" s="31" t="s">
        <v>613</v>
      </c>
      <c r="B686" s="19">
        <v>811</v>
      </c>
      <c r="C686" s="26" t="s">
        <v>384</v>
      </c>
      <c r="D686" s="26" t="s">
        <v>386</v>
      </c>
      <c r="E686" s="27" t="s">
        <v>614</v>
      </c>
      <c r="F686" s="28"/>
      <c r="G686" s="6">
        <f>G687</f>
        <v>650</v>
      </c>
      <c r="H686" s="6">
        <f>H687</f>
        <v>650</v>
      </c>
      <c r="I686" s="6">
        <f>I687</f>
        <v>647</v>
      </c>
      <c r="J686" s="99">
        <f t="shared" si="91"/>
        <v>99.53846153846155</v>
      </c>
    </row>
    <row r="687" spans="1:10" ht="16.5" customHeight="1">
      <c r="A687" s="60" t="s">
        <v>419</v>
      </c>
      <c r="B687" s="19">
        <v>811</v>
      </c>
      <c r="C687" s="26" t="s">
        <v>384</v>
      </c>
      <c r="D687" s="26" t="s">
        <v>386</v>
      </c>
      <c r="E687" s="27" t="s">
        <v>614</v>
      </c>
      <c r="F687" s="28" t="s">
        <v>420</v>
      </c>
      <c r="G687" s="6">
        <v>650</v>
      </c>
      <c r="H687" s="6">
        <v>650</v>
      </c>
      <c r="I687" s="6">
        <v>647</v>
      </c>
      <c r="J687" s="99">
        <f t="shared" si="91"/>
        <v>99.53846153846155</v>
      </c>
    </row>
    <row r="688" spans="1:10" ht="32.25" customHeight="1">
      <c r="A688" s="31" t="s">
        <v>121</v>
      </c>
      <c r="B688" s="19">
        <v>811</v>
      </c>
      <c r="C688" s="26" t="s">
        <v>384</v>
      </c>
      <c r="D688" s="26" t="s">
        <v>386</v>
      </c>
      <c r="E688" s="27" t="s">
        <v>122</v>
      </c>
      <c r="F688" s="28"/>
      <c r="G688" s="6">
        <f>G689</f>
        <v>599</v>
      </c>
      <c r="H688" s="6">
        <f>H689</f>
        <v>599</v>
      </c>
      <c r="I688" s="6">
        <f>I689</f>
        <v>599</v>
      </c>
      <c r="J688" s="99">
        <f t="shared" si="91"/>
        <v>100</v>
      </c>
    </row>
    <row r="689" spans="1:10" ht="16.5" customHeight="1">
      <c r="A689" s="60" t="s">
        <v>419</v>
      </c>
      <c r="B689" s="19">
        <v>811</v>
      </c>
      <c r="C689" s="26" t="s">
        <v>384</v>
      </c>
      <c r="D689" s="26" t="s">
        <v>386</v>
      </c>
      <c r="E689" s="27" t="s">
        <v>122</v>
      </c>
      <c r="F689" s="28" t="s">
        <v>420</v>
      </c>
      <c r="G689" s="6">
        <v>599</v>
      </c>
      <c r="H689" s="6">
        <v>599</v>
      </c>
      <c r="I689" s="6">
        <v>599</v>
      </c>
      <c r="J689" s="99">
        <f t="shared" si="91"/>
        <v>100</v>
      </c>
    </row>
    <row r="690" spans="1:10" ht="12.75" customHeight="1">
      <c r="A690" s="60"/>
      <c r="B690" s="19"/>
      <c r="C690" s="20"/>
      <c r="D690" s="20"/>
      <c r="E690" s="19"/>
      <c r="F690" s="21"/>
      <c r="G690" s="6"/>
      <c r="H690" s="6"/>
      <c r="I690" s="6"/>
      <c r="J690" s="99"/>
    </row>
    <row r="691" spans="1:10" ht="16.5" customHeight="1">
      <c r="A691" s="62" t="s">
        <v>244</v>
      </c>
      <c r="B691" s="15">
        <v>811</v>
      </c>
      <c r="C691" s="30" t="s">
        <v>388</v>
      </c>
      <c r="D691" s="30"/>
      <c r="E691" s="15"/>
      <c r="F691" s="33"/>
      <c r="G691" s="5">
        <f>G692+G705</f>
        <v>16941</v>
      </c>
      <c r="H691" s="5">
        <f>H692+H705</f>
        <v>17096</v>
      </c>
      <c r="I691" s="5">
        <f>I692+I705</f>
        <v>17008</v>
      </c>
      <c r="J691" s="103">
        <f t="shared" si="91"/>
        <v>99.48525970987365</v>
      </c>
    </row>
    <row r="692" spans="1:10" ht="16.5" customHeight="1">
      <c r="A692" s="31" t="s">
        <v>245</v>
      </c>
      <c r="B692" s="19">
        <v>811</v>
      </c>
      <c r="C692" s="20" t="s">
        <v>388</v>
      </c>
      <c r="D692" s="20" t="s">
        <v>379</v>
      </c>
      <c r="E692" s="19"/>
      <c r="F692" s="21"/>
      <c r="G692" s="6">
        <f>G697+G701+G693</f>
        <v>7237</v>
      </c>
      <c r="H692" s="6">
        <f>H697+H701+H693</f>
        <v>7336</v>
      </c>
      <c r="I692" s="6">
        <f>I697+I701+I693</f>
        <v>7335</v>
      </c>
      <c r="J692" s="99">
        <f t="shared" si="91"/>
        <v>99.98636859323882</v>
      </c>
    </row>
    <row r="693" spans="1:10" ht="16.5" customHeight="1">
      <c r="A693" s="31" t="s">
        <v>371</v>
      </c>
      <c r="B693" s="26" t="s">
        <v>482</v>
      </c>
      <c r="C693" s="26" t="s">
        <v>388</v>
      </c>
      <c r="D693" s="26" t="s">
        <v>379</v>
      </c>
      <c r="E693" s="26" t="s">
        <v>427</v>
      </c>
      <c r="F693" s="28"/>
      <c r="G693" s="6">
        <f aca="true" t="shared" si="92" ref="G693:I695">G694</f>
        <v>0</v>
      </c>
      <c r="H693" s="6">
        <f t="shared" si="92"/>
        <v>99</v>
      </c>
      <c r="I693" s="6">
        <f t="shared" si="92"/>
        <v>98</v>
      </c>
      <c r="J693" s="99">
        <f t="shared" si="91"/>
        <v>98.98989898989899</v>
      </c>
    </row>
    <row r="694" spans="1:10" ht="16.5" customHeight="1">
      <c r="A694" s="8" t="s">
        <v>426</v>
      </c>
      <c r="B694" s="26" t="s">
        <v>482</v>
      </c>
      <c r="C694" s="26" t="s">
        <v>388</v>
      </c>
      <c r="D694" s="26" t="s">
        <v>379</v>
      </c>
      <c r="E694" s="26" t="s">
        <v>428</v>
      </c>
      <c r="F694" s="28"/>
      <c r="G694" s="6">
        <f t="shared" si="92"/>
        <v>0</v>
      </c>
      <c r="H694" s="6">
        <f t="shared" si="92"/>
        <v>99</v>
      </c>
      <c r="I694" s="6">
        <f t="shared" si="92"/>
        <v>98</v>
      </c>
      <c r="J694" s="99">
        <f t="shared" si="91"/>
        <v>98.98989898989899</v>
      </c>
    </row>
    <row r="695" spans="1:10" ht="16.5" customHeight="1">
      <c r="A695" s="67" t="s">
        <v>469</v>
      </c>
      <c r="B695" s="26" t="s">
        <v>482</v>
      </c>
      <c r="C695" s="26" t="s">
        <v>388</v>
      </c>
      <c r="D695" s="26" t="s">
        <v>379</v>
      </c>
      <c r="E695" s="26" t="s">
        <v>311</v>
      </c>
      <c r="F695" s="28"/>
      <c r="G695" s="6">
        <f t="shared" si="92"/>
        <v>0</v>
      </c>
      <c r="H695" s="6">
        <f t="shared" si="92"/>
        <v>99</v>
      </c>
      <c r="I695" s="6">
        <f t="shared" si="92"/>
        <v>98</v>
      </c>
      <c r="J695" s="99">
        <f t="shared" si="91"/>
        <v>98.98989898989899</v>
      </c>
    </row>
    <row r="696" spans="1:10" ht="16.5" customHeight="1">
      <c r="A696" s="60" t="s">
        <v>419</v>
      </c>
      <c r="B696" s="26" t="s">
        <v>482</v>
      </c>
      <c r="C696" s="26" t="s">
        <v>388</v>
      </c>
      <c r="D696" s="26" t="s">
        <v>379</v>
      </c>
      <c r="E696" s="26" t="s">
        <v>312</v>
      </c>
      <c r="F696" s="28" t="s">
        <v>420</v>
      </c>
      <c r="G696" s="6">
        <v>0</v>
      </c>
      <c r="H696" s="6">
        <v>99</v>
      </c>
      <c r="I696" s="6">
        <v>98</v>
      </c>
      <c r="J696" s="99">
        <f t="shared" si="91"/>
        <v>98.98989898989899</v>
      </c>
    </row>
    <row r="697" spans="1:10" ht="32.25" customHeight="1">
      <c r="A697" s="31" t="s">
        <v>218</v>
      </c>
      <c r="B697" s="19">
        <v>811</v>
      </c>
      <c r="C697" s="26" t="s">
        <v>388</v>
      </c>
      <c r="D697" s="26" t="s">
        <v>379</v>
      </c>
      <c r="E697" s="27" t="s">
        <v>220</v>
      </c>
      <c r="F697" s="28"/>
      <c r="G697" s="6">
        <f aca="true" t="shared" si="93" ref="G697:I699">G698</f>
        <v>27</v>
      </c>
      <c r="H697" s="6">
        <f t="shared" si="93"/>
        <v>27</v>
      </c>
      <c r="I697" s="6">
        <f t="shared" si="93"/>
        <v>27</v>
      </c>
      <c r="J697" s="99">
        <f t="shared" si="91"/>
        <v>100</v>
      </c>
    </row>
    <row r="698" spans="1:10" ht="66" customHeight="1">
      <c r="A698" s="70" t="s">
        <v>472</v>
      </c>
      <c r="B698" s="19">
        <v>811</v>
      </c>
      <c r="C698" s="54" t="s">
        <v>388</v>
      </c>
      <c r="D698" s="54" t="s">
        <v>379</v>
      </c>
      <c r="E698" s="55" t="s">
        <v>474</v>
      </c>
      <c r="F698" s="28"/>
      <c r="G698" s="6">
        <f t="shared" si="93"/>
        <v>27</v>
      </c>
      <c r="H698" s="6">
        <f t="shared" si="93"/>
        <v>27</v>
      </c>
      <c r="I698" s="6">
        <f t="shared" si="93"/>
        <v>27</v>
      </c>
      <c r="J698" s="99">
        <f t="shared" si="91"/>
        <v>100</v>
      </c>
    </row>
    <row r="699" spans="1:10" ht="32.25" customHeight="1">
      <c r="A699" s="60" t="s">
        <v>473</v>
      </c>
      <c r="B699" s="19">
        <v>811</v>
      </c>
      <c r="C699" s="54" t="s">
        <v>388</v>
      </c>
      <c r="D699" s="54" t="s">
        <v>379</v>
      </c>
      <c r="E699" s="55" t="s">
        <v>475</v>
      </c>
      <c r="F699" s="28"/>
      <c r="G699" s="6">
        <f t="shared" si="93"/>
        <v>27</v>
      </c>
      <c r="H699" s="6">
        <f t="shared" si="93"/>
        <v>27</v>
      </c>
      <c r="I699" s="6">
        <f t="shared" si="93"/>
        <v>27</v>
      </c>
      <c r="J699" s="99">
        <f t="shared" si="91"/>
        <v>100</v>
      </c>
    </row>
    <row r="700" spans="1:10" ht="16.5" customHeight="1">
      <c r="A700" s="31" t="s">
        <v>209</v>
      </c>
      <c r="B700" s="19">
        <v>811</v>
      </c>
      <c r="C700" s="26" t="s">
        <v>388</v>
      </c>
      <c r="D700" s="26" t="s">
        <v>379</v>
      </c>
      <c r="E700" s="55" t="s">
        <v>475</v>
      </c>
      <c r="F700" s="28" t="s">
        <v>212</v>
      </c>
      <c r="G700" s="6">
        <f>9103-8462-614</f>
        <v>27</v>
      </c>
      <c r="H700" s="6">
        <f>9103-8462-614</f>
        <v>27</v>
      </c>
      <c r="I700" s="6">
        <f>9103-8462-614</f>
        <v>27</v>
      </c>
      <c r="J700" s="99">
        <f t="shared" si="91"/>
        <v>100</v>
      </c>
    </row>
    <row r="701" spans="1:10" ht="16.5" customHeight="1">
      <c r="A701" s="23" t="s">
        <v>199</v>
      </c>
      <c r="B701" s="19">
        <v>811</v>
      </c>
      <c r="C701" s="26" t="s">
        <v>388</v>
      </c>
      <c r="D701" s="26" t="s">
        <v>379</v>
      </c>
      <c r="E701" s="55" t="s">
        <v>417</v>
      </c>
      <c r="F701" s="28"/>
      <c r="G701" s="6">
        <f aca="true" t="shared" si="94" ref="G701:I702">G702</f>
        <v>7210</v>
      </c>
      <c r="H701" s="6">
        <f t="shared" si="94"/>
        <v>7210</v>
      </c>
      <c r="I701" s="6">
        <f t="shared" si="94"/>
        <v>7210</v>
      </c>
      <c r="J701" s="99">
        <f t="shared" si="91"/>
        <v>100</v>
      </c>
    </row>
    <row r="702" spans="1:10" ht="32.25" customHeight="1">
      <c r="A702" s="31" t="s">
        <v>588</v>
      </c>
      <c r="B702" s="19">
        <v>811</v>
      </c>
      <c r="C702" s="26" t="s">
        <v>388</v>
      </c>
      <c r="D702" s="26" t="s">
        <v>379</v>
      </c>
      <c r="E702" s="55" t="s">
        <v>589</v>
      </c>
      <c r="F702" s="28"/>
      <c r="G702" s="6">
        <f t="shared" si="94"/>
        <v>7210</v>
      </c>
      <c r="H702" s="6">
        <f t="shared" si="94"/>
        <v>7210</v>
      </c>
      <c r="I702" s="6">
        <f t="shared" si="94"/>
        <v>7210</v>
      </c>
      <c r="J702" s="99">
        <f t="shared" si="91"/>
        <v>100</v>
      </c>
    </row>
    <row r="703" spans="1:10" ht="16.5" customHeight="1">
      <c r="A703" s="31" t="s">
        <v>209</v>
      </c>
      <c r="B703" s="19">
        <v>811</v>
      </c>
      <c r="C703" s="26" t="s">
        <v>388</v>
      </c>
      <c r="D703" s="26" t="s">
        <v>379</v>
      </c>
      <c r="E703" s="55" t="s">
        <v>589</v>
      </c>
      <c r="F703" s="28" t="s">
        <v>212</v>
      </c>
      <c r="G703" s="6">
        <f>9505-1914-381</f>
        <v>7210</v>
      </c>
      <c r="H703" s="6">
        <f>9505-1914-381</f>
        <v>7210</v>
      </c>
      <c r="I703" s="6">
        <f>9505-1914-381</f>
        <v>7210</v>
      </c>
      <c r="J703" s="99">
        <f t="shared" si="91"/>
        <v>100</v>
      </c>
    </row>
    <row r="704" spans="1:10" ht="12" customHeight="1">
      <c r="A704" s="60"/>
      <c r="B704" s="19"/>
      <c r="C704" s="26"/>
      <c r="D704" s="26"/>
      <c r="E704" s="55"/>
      <c r="F704" s="28"/>
      <c r="G704" s="6"/>
      <c r="H704" s="6"/>
      <c r="I704" s="6"/>
      <c r="J704" s="99"/>
    </row>
    <row r="705" spans="1:10" ht="32.25" customHeight="1">
      <c r="A705" s="31" t="s">
        <v>246</v>
      </c>
      <c r="B705" s="19">
        <v>811</v>
      </c>
      <c r="C705" s="26" t="s">
        <v>388</v>
      </c>
      <c r="D705" s="26" t="s">
        <v>383</v>
      </c>
      <c r="E705" s="55"/>
      <c r="F705" s="28"/>
      <c r="G705" s="6">
        <f>G713+G710+G706</f>
        <v>9704</v>
      </c>
      <c r="H705" s="6">
        <f>H713+H710+H706</f>
        <v>9760</v>
      </c>
      <c r="I705" s="6">
        <f>I713+I710+I706</f>
        <v>9673</v>
      </c>
      <c r="J705" s="99">
        <f t="shared" si="91"/>
        <v>99.10860655737706</v>
      </c>
    </row>
    <row r="706" spans="1:10" ht="16.5" customHeight="1">
      <c r="A706" s="31" t="s">
        <v>371</v>
      </c>
      <c r="B706" s="26" t="s">
        <v>482</v>
      </c>
      <c r="C706" s="26" t="s">
        <v>388</v>
      </c>
      <c r="D706" s="26" t="s">
        <v>383</v>
      </c>
      <c r="E706" s="26" t="s">
        <v>427</v>
      </c>
      <c r="F706" s="28"/>
      <c r="G706" s="6">
        <f aca="true" t="shared" si="95" ref="G706:I708">G707</f>
        <v>0</v>
      </c>
      <c r="H706" s="6">
        <f t="shared" si="95"/>
        <v>56</v>
      </c>
      <c r="I706" s="6">
        <f t="shared" si="95"/>
        <v>56</v>
      </c>
      <c r="J706" s="99">
        <f t="shared" si="91"/>
        <v>100</v>
      </c>
    </row>
    <row r="707" spans="1:10" ht="16.5" customHeight="1">
      <c r="A707" s="8" t="s">
        <v>426</v>
      </c>
      <c r="B707" s="26" t="s">
        <v>482</v>
      </c>
      <c r="C707" s="26" t="s">
        <v>388</v>
      </c>
      <c r="D707" s="26" t="s">
        <v>383</v>
      </c>
      <c r="E707" s="26" t="s">
        <v>428</v>
      </c>
      <c r="F707" s="28"/>
      <c r="G707" s="6">
        <f t="shared" si="95"/>
        <v>0</v>
      </c>
      <c r="H707" s="6">
        <f t="shared" si="95"/>
        <v>56</v>
      </c>
      <c r="I707" s="6">
        <f t="shared" si="95"/>
        <v>56</v>
      </c>
      <c r="J707" s="99">
        <f t="shared" si="91"/>
        <v>100</v>
      </c>
    </row>
    <row r="708" spans="1:10" ht="16.5" customHeight="1">
      <c r="A708" s="67" t="s">
        <v>469</v>
      </c>
      <c r="B708" s="26" t="s">
        <v>482</v>
      </c>
      <c r="C708" s="26" t="s">
        <v>388</v>
      </c>
      <c r="D708" s="26" t="s">
        <v>383</v>
      </c>
      <c r="E708" s="26" t="s">
        <v>311</v>
      </c>
      <c r="F708" s="28"/>
      <c r="G708" s="6">
        <f t="shared" si="95"/>
        <v>0</v>
      </c>
      <c r="H708" s="6">
        <f t="shared" si="95"/>
        <v>56</v>
      </c>
      <c r="I708" s="6">
        <f t="shared" si="95"/>
        <v>56</v>
      </c>
      <c r="J708" s="99">
        <f t="shared" si="91"/>
        <v>100</v>
      </c>
    </row>
    <row r="709" spans="1:10" ht="16.5" customHeight="1">
      <c r="A709" s="60" t="s">
        <v>419</v>
      </c>
      <c r="B709" s="26" t="s">
        <v>482</v>
      </c>
      <c r="C709" s="26" t="s">
        <v>388</v>
      </c>
      <c r="D709" s="26" t="s">
        <v>383</v>
      </c>
      <c r="E709" s="26" t="s">
        <v>312</v>
      </c>
      <c r="F709" s="28" t="s">
        <v>420</v>
      </c>
      <c r="G709" s="6">
        <v>0</v>
      </c>
      <c r="H709" s="6">
        <v>56</v>
      </c>
      <c r="I709" s="6">
        <v>56</v>
      </c>
      <c r="J709" s="99">
        <f t="shared" si="91"/>
        <v>100</v>
      </c>
    </row>
    <row r="710" spans="1:10" ht="16.5" customHeight="1">
      <c r="A710" s="64" t="s">
        <v>7</v>
      </c>
      <c r="B710" s="19">
        <v>811</v>
      </c>
      <c r="C710" s="54" t="s">
        <v>388</v>
      </c>
      <c r="D710" s="26" t="s">
        <v>383</v>
      </c>
      <c r="E710" s="55" t="s">
        <v>9</v>
      </c>
      <c r="F710" s="56"/>
      <c r="G710" s="6">
        <f aca="true" t="shared" si="96" ref="G710:I711">G711</f>
        <v>292</v>
      </c>
      <c r="H710" s="6">
        <f t="shared" si="96"/>
        <v>292</v>
      </c>
      <c r="I710" s="6">
        <f t="shared" si="96"/>
        <v>292</v>
      </c>
      <c r="J710" s="99">
        <f t="shared" si="91"/>
        <v>100</v>
      </c>
    </row>
    <row r="711" spans="1:10" ht="49.5" customHeight="1">
      <c r="A711" s="64" t="s">
        <v>8</v>
      </c>
      <c r="B711" s="19">
        <v>811</v>
      </c>
      <c r="C711" s="54" t="s">
        <v>388</v>
      </c>
      <c r="D711" s="26" t="s">
        <v>383</v>
      </c>
      <c r="E711" s="75" t="s">
        <v>10</v>
      </c>
      <c r="F711" s="56"/>
      <c r="G711" s="6">
        <f t="shared" si="96"/>
        <v>292</v>
      </c>
      <c r="H711" s="6">
        <f t="shared" si="96"/>
        <v>292</v>
      </c>
      <c r="I711" s="6">
        <f t="shared" si="96"/>
        <v>292</v>
      </c>
      <c r="J711" s="99">
        <f t="shared" si="91"/>
        <v>100</v>
      </c>
    </row>
    <row r="712" spans="1:10" ht="16.5" customHeight="1">
      <c r="A712" s="60" t="s">
        <v>419</v>
      </c>
      <c r="B712" s="19">
        <v>811</v>
      </c>
      <c r="C712" s="54" t="s">
        <v>388</v>
      </c>
      <c r="D712" s="26" t="s">
        <v>383</v>
      </c>
      <c r="E712" s="55" t="s">
        <v>10</v>
      </c>
      <c r="F712" s="56" t="s">
        <v>420</v>
      </c>
      <c r="G712" s="6">
        <f>5000-5000+292</f>
        <v>292</v>
      </c>
      <c r="H712" s="6">
        <f>5000-5000+292</f>
        <v>292</v>
      </c>
      <c r="I712" s="6">
        <f>5000-5000+292</f>
        <v>292</v>
      </c>
      <c r="J712" s="99">
        <f t="shared" si="91"/>
        <v>100</v>
      </c>
    </row>
    <row r="713" spans="1:10" ht="16.5" customHeight="1">
      <c r="A713" s="23" t="s">
        <v>199</v>
      </c>
      <c r="B713" s="19">
        <v>811</v>
      </c>
      <c r="C713" s="26" t="s">
        <v>388</v>
      </c>
      <c r="D713" s="26" t="s">
        <v>383</v>
      </c>
      <c r="E713" s="55" t="s">
        <v>417</v>
      </c>
      <c r="F713" s="28"/>
      <c r="G713" s="6">
        <f>G716+G721+G714</f>
        <v>9412</v>
      </c>
      <c r="H713" s="6">
        <f>H716+H721+H714</f>
        <v>9412</v>
      </c>
      <c r="I713" s="6">
        <f>I716+I721+I714</f>
        <v>9325</v>
      </c>
      <c r="J713" s="99">
        <f t="shared" si="91"/>
        <v>99.07564810879728</v>
      </c>
    </row>
    <row r="714" spans="1:10" ht="32.25" customHeight="1" hidden="1">
      <c r="A714" s="60" t="s">
        <v>617</v>
      </c>
      <c r="B714" s="19">
        <v>811</v>
      </c>
      <c r="C714" s="26" t="s">
        <v>388</v>
      </c>
      <c r="D714" s="26" t="s">
        <v>383</v>
      </c>
      <c r="E714" s="55" t="s">
        <v>592</v>
      </c>
      <c r="F714" s="28"/>
      <c r="G714" s="6">
        <f>G715</f>
        <v>0</v>
      </c>
      <c r="H714" s="6">
        <f>H715</f>
        <v>0</v>
      </c>
      <c r="I714" s="6">
        <f>I715</f>
        <v>0</v>
      </c>
      <c r="J714" s="99" t="e">
        <f t="shared" si="91"/>
        <v>#DIV/0!</v>
      </c>
    </row>
    <row r="715" spans="1:10" ht="17.25" customHeight="1" hidden="1">
      <c r="A715" s="60" t="s">
        <v>419</v>
      </c>
      <c r="B715" s="19">
        <v>811</v>
      </c>
      <c r="C715" s="26" t="s">
        <v>388</v>
      </c>
      <c r="D715" s="26" t="s">
        <v>383</v>
      </c>
      <c r="E715" s="55" t="s">
        <v>591</v>
      </c>
      <c r="F715" s="28" t="s">
        <v>420</v>
      </c>
      <c r="G715" s="6">
        <f>19000-19000</f>
        <v>0</v>
      </c>
      <c r="H715" s="6">
        <f>19000-19000</f>
        <v>0</v>
      </c>
      <c r="I715" s="6">
        <f>19000-19000</f>
        <v>0</v>
      </c>
      <c r="J715" s="99" t="e">
        <f t="shared" si="91"/>
        <v>#DIV/0!</v>
      </c>
    </row>
    <row r="716" spans="1:10" ht="32.25" customHeight="1">
      <c r="A716" s="8" t="s">
        <v>501</v>
      </c>
      <c r="B716" s="19">
        <v>811</v>
      </c>
      <c r="C716" s="26" t="s">
        <v>388</v>
      </c>
      <c r="D716" s="26" t="s">
        <v>383</v>
      </c>
      <c r="E716" s="55" t="s">
        <v>242</v>
      </c>
      <c r="F716" s="28"/>
      <c r="G716" s="6">
        <f>G717+G719</f>
        <v>8536</v>
      </c>
      <c r="H716" s="6">
        <f>H717+H719</f>
        <v>8536</v>
      </c>
      <c r="I716" s="6">
        <f>I717+I719</f>
        <v>8449</v>
      </c>
      <c r="J716" s="99">
        <f t="shared" si="91"/>
        <v>98.98078725398312</v>
      </c>
    </row>
    <row r="717" spans="1:10" ht="32.25" customHeight="1">
      <c r="A717" s="8" t="s">
        <v>605</v>
      </c>
      <c r="B717" s="19">
        <v>811</v>
      </c>
      <c r="C717" s="26" t="s">
        <v>388</v>
      </c>
      <c r="D717" s="26" t="s">
        <v>383</v>
      </c>
      <c r="E717" s="55" t="s">
        <v>607</v>
      </c>
      <c r="F717" s="28"/>
      <c r="G717" s="6">
        <f>G718</f>
        <v>7547</v>
      </c>
      <c r="H717" s="6">
        <f>H718</f>
        <v>7547</v>
      </c>
      <c r="I717" s="6">
        <f>I718</f>
        <v>7521</v>
      </c>
      <c r="J717" s="99">
        <f aca="true" t="shared" si="97" ref="J717:J780">I717/H717*100</f>
        <v>99.6554922485756</v>
      </c>
    </row>
    <row r="718" spans="1:10" ht="16.5" customHeight="1">
      <c r="A718" s="60" t="s">
        <v>419</v>
      </c>
      <c r="B718" s="19">
        <v>811</v>
      </c>
      <c r="C718" s="26" t="s">
        <v>388</v>
      </c>
      <c r="D718" s="26" t="s">
        <v>383</v>
      </c>
      <c r="E718" s="55" t="s">
        <v>607</v>
      </c>
      <c r="F718" s="28" t="s">
        <v>420</v>
      </c>
      <c r="G718" s="6">
        <f>19277-11730</f>
        <v>7547</v>
      </c>
      <c r="H718" s="6">
        <f>19277-11730</f>
        <v>7547</v>
      </c>
      <c r="I718" s="6">
        <v>7521</v>
      </c>
      <c r="J718" s="99">
        <f t="shared" si="97"/>
        <v>99.6554922485756</v>
      </c>
    </row>
    <row r="719" spans="1:10" ht="16.5" customHeight="1">
      <c r="A719" s="8" t="s">
        <v>606</v>
      </c>
      <c r="B719" s="19">
        <v>811</v>
      </c>
      <c r="C719" s="26" t="s">
        <v>388</v>
      </c>
      <c r="D719" s="26" t="s">
        <v>383</v>
      </c>
      <c r="E719" s="55" t="s">
        <v>608</v>
      </c>
      <c r="F719" s="28"/>
      <c r="G719" s="6">
        <f>G720</f>
        <v>989</v>
      </c>
      <c r="H719" s="6">
        <f>H720</f>
        <v>989</v>
      </c>
      <c r="I719" s="6">
        <f>I720</f>
        <v>928</v>
      </c>
      <c r="J719" s="99">
        <f t="shared" si="97"/>
        <v>93.83215369059657</v>
      </c>
    </row>
    <row r="720" spans="1:10" ht="16.5" customHeight="1">
      <c r="A720" s="60" t="s">
        <v>419</v>
      </c>
      <c r="B720" s="19">
        <v>811</v>
      </c>
      <c r="C720" s="26" t="s">
        <v>388</v>
      </c>
      <c r="D720" s="26" t="s">
        <v>383</v>
      </c>
      <c r="E720" s="55" t="s">
        <v>608</v>
      </c>
      <c r="F720" s="28" t="s">
        <v>420</v>
      </c>
      <c r="G720" s="6">
        <f>1247-258</f>
        <v>989</v>
      </c>
      <c r="H720" s="6">
        <f>1247-258</f>
        <v>989</v>
      </c>
      <c r="I720" s="6">
        <v>928</v>
      </c>
      <c r="J720" s="99">
        <f t="shared" si="97"/>
        <v>93.83215369059657</v>
      </c>
    </row>
    <row r="721" spans="1:10" ht="32.25" customHeight="1">
      <c r="A721" s="31" t="s">
        <v>497</v>
      </c>
      <c r="B721" s="19">
        <v>811</v>
      </c>
      <c r="C721" s="26" t="s">
        <v>388</v>
      </c>
      <c r="D721" s="26" t="s">
        <v>383</v>
      </c>
      <c r="E721" s="55" t="s">
        <v>243</v>
      </c>
      <c r="F721" s="28"/>
      <c r="G721" s="6">
        <f>G724+G722</f>
        <v>876</v>
      </c>
      <c r="H721" s="6">
        <f>H724+H722</f>
        <v>876</v>
      </c>
      <c r="I721" s="6">
        <f>I724+I722</f>
        <v>876</v>
      </c>
      <c r="J721" s="99">
        <f t="shared" si="97"/>
        <v>100</v>
      </c>
    </row>
    <row r="722" spans="1:10" ht="32.25" customHeight="1">
      <c r="A722" s="31" t="s">
        <v>123</v>
      </c>
      <c r="B722" s="19">
        <v>811</v>
      </c>
      <c r="C722" s="26" t="s">
        <v>388</v>
      </c>
      <c r="D722" s="26" t="s">
        <v>383</v>
      </c>
      <c r="E722" s="55" t="s">
        <v>124</v>
      </c>
      <c r="F722" s="28"/>
      <c r="G722" s="6">
        <f>G723</f>
        <v>614</v>
      </c>
      <c r="H722" s="6">
        <f>H723</f>
        <v>614</v>
      </c>
      <c r="I722" s="6">
        <f>I723</f>
        <v>614</v>
      </c>
      <c r="J722" s="99">
        <f t="shared" si="97"/>
        <v>100</v>
      </c>
    </row>
    <row r="723" spans="1:10" ht="16.5" customHeight="1">
      <c r="A723" s="60" t="s">
        <v>419</v>
      </c>
      <c r="B723" s="19">
        <v>811</v>
      </c>
      <c r="C723" s="26" t="s">
        <v>388</v>
      </c>
      <c r="D723" s="26" t="s">
        <v>383</v>
      </c>
      <c r="E723" s="55" t="s">
        <v>124</v>
      </c>
      <c r="F723" s="28" t="s">
        <v>420</v>
      </c>
      <c r="G723" s="6">
        <f>613+1</f>
        <v>614</v>
      </c>
      <c r="H723" s="6">
        <f>613+1</f>
        <v>614</v>
      </c>
      <c r="I723" s="6">
        <f>613+1</f>
        <v>614</v>
      </c>
      <c r="J723" s="99">
        <f t="shared" si="97"/>
        <v>100</v>
      </c>
    </row>
    <row r="724" spans="1:10" ht="16.5" customHeight="1">
      <c r="A724" s="31" t="s">
        <v>615</v>
      </c>
      <c r="B724" s="19">
        <v>811</v>
      </c>
      <c r="C724" s="26" t="s">
        <v>388</v>
      </c>
      <c r="D724" s="26" t="s">
        <v>383</v>
      </c>
      <c r="E724" s="55" t="s">
        <v>616</v>
      </c>
      <c r="F724" s="28"/>
      <c r="G724" s="6">
        <f>G725</f>
        <v>262</v>
      </c>
      <c r="H724" s="6">
        <f>H725</f>
        <v>262</v>
      </c>
      <c r="I724" s="6">
        <f>I725</f>
        <v>262</v>
      </c>
      <c r="J724" s="99">
        <f t="shared" si="97"/>
        <v>100</v>
      </c>
    </row>
    <row r="725" spans="1:10" ht="16.5" customHeight="1">
      <c r="A725" s="60" t="s">
        <v>419</v>
      </c>
      <c r="B725" s="19">
        <v>811</v>
      </c>
      <c r="C725" s="26" t="s">
        <v>388</v>
      </c>
      <c r="D725" s="26" t="s">
        <v>383</v>
      </c>
      <c r="E725" s="55" t="s">
        <v>616</v>
      </c>
      <c r="F725" s="28" t="s">
        <v>420</v>
      </c>
      <c r="G725" s="6">
        <f>877-614-1</f>
        <v>262</v>
      </c>
      <c r="H725" s="6">
        <f>877-614-1</f>
        <v>262</v>
      </c>
      <c r="I725" s="6">
        <f>877-614-1</f>
        <v>262</v>
      </c>
      <c r="J725" s="99">
        <f t="shared" si="97"/>
        <v>100</v>
      </c>
    </row>
    <row r="726" spans="1:10" ht="12" customHeight="1">
      <c r="A726" s="60"/>
      <c r="B726" s="19"/>
      <c r="C726" s="20"/>
      <c r="D726" s="20"/>
      <c r="E726" s="19"/>
      <c r="F726" s="21"/>
      <c r="G726" s="6"/>
      <c r="H726" s="6"/>
      <c r="I726" s="6"/>
      <c r="J726" s="99"/>
    </row>
    <row r="727" spans="1:10" ht="16.5" customHeight="1">
      <c r="A727" s="62" t="s">
        <v>247</v>
      </c>
      <c r="B727" s="15">
        <v>811</v>
      </c>
      <c r="C727" s="30" t="s">
        <v>386</v>
      </c>
      <c r="D727" s="30"/>
      <c r="E727" s="15"/>
      <c r="F727" s="33"/>
      <c r="G727" s="5">
        <f>G728+G739+G734</f>
        <v>28244</v>
      </c>
      <c r="H727" s="5">
        <f>H728+H739+H734</f>
        <v>28244</v>
      </c>
      <c r="I727" s="5">
        <f>I728+I739+I734</f>
        <v>27527</v>
      </c>
      <c r="J727" s="103">
        <f t="shared" si="97"/>
        <v>97.46140773261578</v>
      </c>
    </row>
    <row r="728" spans="1:10" ht="16.5" customHeight="1">
      <c r="A728" s="31" t="s">
        <v>274</v>
      </c>
      <c r="B728" s="19">
        <v>811</v>
      </c>
      <c r="C728" s="20" t="s">
        <v>386</v>
      </c>
      <c r="D728" s="20" t="s">
        <v>379</v>
      </c>
      <c r="E728" s="19"/>
      <c r="F728" s="21"/>
      <c r="G728" s="6">
        <f aca="true" t="shared" si="98" ref="G728:I731">G729</f>
        <v>5169</v>
      </c>
      <c r="H728" s="6">
        <f t="shared" si="98"/>
        <v>5169</v>
      </c>
      <c r="I728" s="6">
        <f t="shared" si="98"/>
        <v>4769</v>
      </c>
      <c r="J728" s="99">
        <f t="shared" si="97"/>
        <v>92.2615592958019</v>
      </c>
    </row>
    <row r="729" spans="1:10" ht="32.25" customHeight="1">
      <c r="A729" s="31" t="s">
        <v>218</v>
      </c>
      <c r="B729" s="19">
        <v>811</v>
      </c>
      <c r="C729" s="20" t="s">
        <v>386</v>
      </c>
      <c r="D729" s="20" t="s">
        <v>379</v>
      </c>
      <c r="E729" s="19" t="s">
        <v>220</v>
      </c>
      <c r="F729" s="21"/>
      <c r="G729" s="6">
        <f t="shared" si="98"/>
        <v>5169</v>
      </c>
      <c r="H729" s="6">
        <f t="shared" si="98"/>
        <v>5169</v>
      </c>
      <c r="I729" s="6">
        <f t="shared" si="98"/>
        <v>4769</v>
      </c>
      <c r="J729" s="99">
        <f t="shared" si="97"/>
        <v>92.2615592958019</v>
      </c>
    </row>
    <row r="730" spans="1:10" ht="66" customHeight="1">
      <c r="A730" s="70" t="s">
        <v>472</v>
      </c>
      <c r="B730" s="19">
        <v>811</v>
      </c>
      <c r="C730" s="20" t="s">
        <v>386</v>
      </c>
      <c r="D730" s="20" t="s">
        <v>379</v>
      </c>
      <c r="E730" s="55" t="s">
        <v>474</v>
      </c>
      <c r="F730" s="21"/>
      <c r="G730" s="6">
        <f t="shared" si="98"/>
        <v>5169</v>
      </c>
      <c r="H730" s="6">
        <f t="shared" si="98"/>
        <v>5169</v>
      </c>
      <c r="I730" s="6">
        <f t="shared" si="98"/>
        <v>4769</v>
      </c>
      <c r="J730" s="99">
        <f t="shared" si="97"/>
        <v>92.2615592958019</v>
      </c>
    </row>
    <row r="731" spans="1:10" ht="32.25" customHeight="1">
      <c r="A731" s="60" t="s">
        <v>473</v>
      </c>
      <c r="B731" s="19">
        <v>811</v>
      </c>
      <c r="C731" s="20" t="s">
        <v>386</v>
      </c>
      <c r="D731" s="20" t="s">
        <v>379</v>
      </c>
      <c r="E731" s="55" t="s">
        <v>475</v>
      </c>
      <c r="F731" s="21"/>
      <c r="G731" s="6">
        <f t="shared" si="98"/>
        <v>5169</v>
      </c>
      <c r="H731" s="6">
        <f t="shared" si="98"/>
        <v>5169</v>
      </c>
      <c r="I731" s="6">
        <f t="shared" si="98"/>
        <v>4769</v>
      </c>
      <c r="J731" s="99">
        <f t="shared" si="97"/>
        <v>92.2615592958019</v>
      </c>
    </row>
    <row r="732" spans="1:10" ht="16.5" customHeight="1">
      <c r="A732" s="31" t="s">
        <v>209</v>
      </c>
      <c r="B732" s="19">
        <v>811</v>
      </c>
      <c r="C732" s="20" t="s">
        <v>386</v>
      </c>
      <c r="D732" s="20" t="s">
        <v>379</v>
      </c>
      <c r="E732" s="55" t="s">
        <v>475</v>
      </c>
      <c r="F732" s="21" t="s">
        <v>212</v>
      </c>
      <c r="G732" s="6">
        <f>16656-12197+20+690</f>
        <v>5169</v>
      </c>
      <c r="H732" s="6">
        <f>16656-12197+20+690</f>
        <v>5169</v>
      </c>
      <c r="I732" s="6">
        <v>4769</v>
      </c>
      <c r="J732" s="99">
        <f t="shared" si="97"/>
        <v>92.2615592958019</v>
      </c>
    </row>
    <row r="733" spans="1:10" ht="12" customHeight="1">
      <c r="A733" s="31"/>
      <c r="B733" s="19"/>
      <c r="C733" s="20"/>
      <c r="D733" s="20"/>
      <c r="E733" s="55"/>
      <c r="F733" s="21"/>
      <c r="G733" s="6"/>
      <c r="H733" s="6"/>
      <c r="I733" s="6"/>
      <c r="J733" s="99"/>
    </row>
    <row r="734" spans="1:10" ht="16.5" customHeight="1">
      <c r="A734" s="59" t="s">
        <v>251</v>
      </c>
      <c r="B734" s="19">
        <v>811</v>
      </c>
      <c r="C734" s="20" t="s">
        <v>386</v>
      </c>
      <c r="D734" s="20" t="s">
        <v>380</v>
      </c>
      <c r="E734" s="55"/>
      <c r="F734" s="21"/>
      <c r="G734" s="6">
        <f aca="true" t="shared" si="99" ref="G734:I736">G735</f>
        <v>10700</v>
      </c>
      <c r="H734" s="6">
        <f t="shared" si="99"/>
        <v>10700</v>
      </c>
      <c r="I734" s="6">
        <f t="shared" si="99"/>
        <v>10700</v>
      </c>
      <c r="J734" s="99">
        <f t="shared" si="97"/>
        <v>100</v>
      </c>
    </row>
    <row r="735" spans="1:10" ht="16.5" customHeight="1">
      <c r="A735" s="23" t="s">
        <v>199</v>
      </c>
      <c r="B735" s="19">
        <v>811</v>
      </c>
      <c r="C735" s="20" t="s">
        <v>386</v>
      </c>
      <c r="D735" s="20" t="s">
        <v>380</v>
      </c>
      <c r="E735" s="55" t="s">
        <v>417</v>
      </c>
      <c r="F735" s="21"/>
      <c r="G735" s="6">
        <f t="shared" si="99"/>
        <v>10700</v>
      </c>
      <c r="H735" s="6">
        <f t="shared" si="99"/>
        <v>10700</v>
      </c>
      <c r="I735" s="6">
        <f t="shared" si="99"/>
        <v>10700</v>
      </c>
      <c r="J735" s="99">
        <f t="shared" si="97"/>
        <v>100</v>
      </c>
    </row>
    <row r="736" spans="1:10" ht="32.25" customHeight="1">
      <c r="A736" s="31" t="s">
        <v>588</v>
      </c>
      <c r="B736" s="19">
        <v>811</v>
      </c>
      <c r="C736" s="20" t="s">
        <v>386</v>
      </c>
      <c r="D736" s="20" t="s">
        <v>380</v>
      </c>
      <c r="E736" s="55" t="s">
        <v>589</v>
      </c>
      <c r="F736" s="21"/>
      <c r="G736" s="6">
        <f t="shared" si="99"/>
        <v>10700</v>
      </c>
      <c r="H736" s="6">
        <f t="shared" si="99"/>
        <v>10700</v>
      </c>
      <c r="I736" s="6">
        <f t="shared" si="99"/>
        <v>10700</v>
      </c>
      <c r="J736" s="99">
        <f t="shared" si="97"/>
        <v>100</v>
      </c>
    </row>
    <row r="737" spans="1:10" ht="16.5" customHeight="1">
      <c r="A737" s="31" t="s">
        <v>209</v>
      </c>
      <c r="B737" s="19">
        <v>811</v>
      </c>
      <c r="C737" s="20" t="s">
        <v>386</v>
      </c>
      <c r="D737" s="20" t="s">
        <v>380</v>
      </c>
      <c r="E737" s="55" t="s">
        <v>589</v>
      </c>
      <c r="F737" s="21" t="s">
        <v>212</v>
      </c>
      <c r="G737" s="6">
        <f>27020-11320-5000</f>
        <v>10700</v>
      </c>
      <c r="H737" s="6">
        <f>27020-11320-5000</f>
        <v>10700</v>
      </c>
      <c r="I737" s="6">
        <f>27020-11320-5000</f>
        <v>10700</v>
      </c>
      <c r="J737" s="99">
        <f t="shared" si="97"/>
        <v>100</v>
      </c>
    </row>
    <row r="738" spans="1:10" ht="12" customHeight="1">
      <c r="A738" s="31"/>
      <c r="B738" s="19"/>
      <c r="C738" s="20"/>
      <c r="D738" s="20"/>
      <c r="E738" s="55"/>
      <c r="F738" s="21"/>
      <c r="G738" s="6"/>
      <c r="H738" s="6"/>
      <c r="I738" s="6"/>
      <c r="J738" s="99"/>
    </row>
    <row r="739" spans="1:10" ht="16.5" customHeight="1">
      <c r="A739" s="59" t="s">
        <v>252</v>
      </c>
      <c r="B739" s="19">
        <v>811</v>
      </c>
      <c r="C739" s="20" t="s">
        <v>386</v>
      </c>
      <c r="D739" s="20" t="s">
        <v>388</v>
      </c>
      <c r="E739" s="19"/>
      <c r="F739" s="21"/>
      <c r="G739" s="6">
        <f>G740+G744</f>
        <v>12375</v>
      </c>
      <c r="H739" s="6">
        <f>H740+H744</f>
        <v>12375</v>
      </c>
      <c r="I739" s="6">
        <f>I740+I744</f>
        <v>12058</v>
      </c>
      <c r="J739" s="99">
        <f t="shared" si="97"/>
        <v>97.43838383838383</v>
      </c>
    </row>
    <row r="740" spans="1:10" ht="32.25" customHeight="1">
      <c r="A740" s="31" t="s">
        <v>218</v>
      </c>
      <c r="B740" s="19">
        <v>811</v>
      </c>
      <c r="C740" s="26" t="s">
        <v>386</v>
      </c>
      <c r="D740" s="20" t="s">
        <v>388</v>
      </c>
      <c r="E740" s="27" t="s">
        <v>220</v>
      </c>
      <c r="F740" s="28"/>
      <c r="G740" s="6">
        <f aca="true" t="shared" si="100" ref="G740:I742">G741</f>
        <v>12375</v>
      </c>
      <c r="H740" s="6">
        <f t="shared" si="100"/>
        <v>12375</v>
      </c>
      <c r="I740" s="6">
        <f t="shared" si="100"/>
        <v>12058</v>
      </c>
      <c r="J740" s="99">
        <f t="shared" si="97"/>
        <v>97.43838383838383</v>
      </c>
    </row>
    <row r="741" spans="1:10" ht="66" customHeight="1">
      <c r="A741" s="70" t="s">
        <v>472</v>
      </c>
      <c r="B741" s="19">
        <v>811</v>
      </c>
      <c r="C741" s="26" t="s">
        <v>386</v>
      </c>
      <c r="D741" s="20" t="s">
        <v>388</v>
      </c>
      <c r="E741" s="27" t="s">
        <v>474</v>
      </c>
      <c r="F741" s="28"/>
      <c r="G741" s="6">
        <f t="shared" si="100"/>
        <v>12375</v>
      </c>
      <c r="H741" s="6">
        <f t="shared" si="100"/>
        <v>12375</v>
      </c>
      <c r="I741" s="6">
        <f t="shared" si="100"/>
        <v>12058</v>
      </c>
      <c r="J741" s="99">
        <f t="shared" si="97"/>
        <v>97.43838383838383</v>
      </c>
    </row>
    <row r="742" spans="1:10" ht="32.25" customHeight="1">
      <c r="A742" s="60" t="s">
        <v>473</v>
      </c>
      <c r="B742" s="19">
        <v>811</v>
      </c>
      <c r="C742" s="26" t="s">
        <v>386</v>
      </c>
      <c r="D742" s="20" t="s">
        <v>388</v>
      </c>
      <c r="E742" s="27" t="s">
        <v>475</v>
      </c>
      <c r="F742" s="28"/>
      <c r="G742" s="6">
        <f t="shared" si="100"/>
        <v>12375</v>
      </c>
      <c r="H742" s="6">
        <f t="shared" si="100"/>
        <v>12375</v>
      </c>
      <c r="I742" s="6">
        <f t="shared" si="100"/>
        <v>12058</v>
      </c>
      <c r="J742" s="99">
        <f t="shared" si="97"/>
        <v>97.43838383838383</v>
      </c>
    </row>
    <row r="743" spans="1:10" ht="16.5" customHeight="1">
      <c r="A743" s="31" t="s">
        <v>209</v>
      </c>
      <c r="B743" s="19">
        <v>811</v>
      </c>
      <c r="C743" s="26" t="s">
        <v>386</v>
      </c>
      <c r="D743" s="20" t="s">
        <v>388</v>
      </c>
      <c r="E743" s="27" t="s">
        <v>475</v>
      </c>
      <c r="F743" s="28" t="s">
        <v>212</v>
      </c>
      <c r="G743" s="6">
        <f>4002+13+15998-2299+285+1542-7166</f>
        <v>12375</v>
      </c>
      <c r="H743" s="6">
        <f>4002+13+15998-2299+285+1542-7166</f>
        <v>12375</v>
      </c>
      <c r="I743" s="6">
        <v>12058</v>
      </c>
      <c r="J743" s="99">
        <f t="shared" si="97"/>
        <v>97.43838383838383</v>
      </c>
    </row>
    <row r="744" spans="1:10" ht="17.25" customHeight="1" hidden="1">
      <c r="A744" s="23" t="s">
        <v>199</v>
      </c>
      <c r="B744" s="19">
        <v>811</v>
      </c>
      <c r="C744" s="26" t="s">
        <v>386</v>
      </c>
      <c r="D744" s="20" t="s">
        <v>388</v>
      </c>
      <c r="E744" s="27" t="s">
        <v>417</v>
      </c>
      <c r="F744" s="28"/>
      <c r="G744" s="6">
        <f aca="true" t="shared" si="101" ref="G744:I745">G745</f>
        <v>0</v>
      </c>
      <c r="H744" s="6">
        <f t="shared" si="101"/>
        <v>0</v>
      </c>
      <c r="I744" s="6">
        <f t="shared" si="101"/>
        <v>0</v>
      </c>
      <c r="J744" s="99" t="e">
        <f t="shared" si="97"/>
        <v>#DIV/0!</v>
      </c>
    </row>
    <row r="745" spans="1:10" ht="32.25" customHeight="1" hidden="1">
      <c r="A745" s="31" t="s">
        <v>588</v>
      </c>
      <c r="B745" s="19">
        <v>811</v>
      </c>
      <c r="C745" s="26" t="s">
        <v>386</v>
      </c>
      <c r="D745" s="20" t="s">
        <v>388</v>
      </c>
      <c r="E745" s="27" t="s">
        <v>589</v>
      </c>
      <c r="F745" s="28"/>
      <c r="G745" s="6">
        <f t="shared" si="101"/>
        <v>0</v>
      </c>
      <c r="H745" s="6">
        <f t="shared" si="101"/>
        <v>0</v>
      </c>
      <c r="I745" s="6">
        <f t="shared" si="101"/>
        <v>0</v>
      </c>
      <c r="J745" s="99" t="e">
        <f t="shared" si="97"/>
        <v>#DIV/0!</v>
      </c>
    </row>
    <row r="746" spans="1:10" ht="17.25" customHeight="1" hidden="1">
      <c r="A746" s="31" t="s">
        <v>209</v>
      </c>
      <c r="B746" s="19">
        <v>811</v>
      </c>
      <c r="C746" s="26" t="s">
        <v>386</v>
      </c>
      <c r="D746" s="20" t="s">
        <v>388</v>
      </c>
      <c r="E746" s="27" t="s">
        <v>589</v>
      </c>
      <c r="F746" s="28" t="s">
        <v>212</v>
      </c>
      <c r="G746" s="6">
        <f>6005-307-5698</f>
        <v>0</v>
      </c>
      <c r="H746" s="6">
        <f>6005-307-5698</f>
        <v>0</v>
      </c>
      <c r="I746" s="6">
        <f>6005-307-5698</f>
        <v>0</v>
      </c>
      <c r="J746" s="99" t="e">
        <f t="shared" si="97"/>
        <v>#DIV/0!</v>
      </c>
    </row>
    <row r="747" spans="1:10" ht="12" customHeight="1">
      <c r="A747" s="24"/>
      <c r="B747" s="27"/>
      <c r="C747" s="26"/>
      <c r="D747" s="26"/>
      <c r="E747" s="27"/>
      <c r="F747" s="28"/>
      <c r="G747" s="6"/>
      <c r="H747" s="6"/>
      <c r="I747" s="6"/>
      <c r="J747" s="99"/>
    </row>
    <row r="748" spans="1:10" ht="16.5" customHeight="1">
      <c r="A748" s="24" t="s">
        <v>393</v>
      </c>
      <c r="B748" s="15">
        <v>812</v>
      </c>
      <c r="C748" s="30"/>
      <c r="D748" s="30"/>
      <c r="E748" s="15"/>
      <c r="F748" s="33"/>
      <c r="G748" s="5">
        <f>G749</f>
        <v>33481</v>
      </c>
      <c r="H748" s="5">
        <f>H749</f>
        <v>33481</v>
      </c>
      <c r="I748" s="5">
        <f>I749</f>
        <v>29024</v>
      </c>
      <c r="J748" s="103">
        <f t="shared" si="97"/>
        <v>86.68797228278726</v>
      </c>
    </row>
    <row r="749" spans="1:10" ht="16.5" customHeight="1">
      <c r="A749" s="62" t="s">
        <v>425</v>
      </c>
      <c r="B749" s="15">
        <v>812</v>
      </c>
      <c r="C749" s="30" t="s">
        <v>379</v>
      </c>
      <c r="D749" s="30"/>
      <c r="E749" s="15"/>
      <c r="F749" s="33"/>
      <c r="G749" s="5">
        <f>G750+G759</f>
        <v>33481</v>
      </c>
      <c r="H749" s="5">
        <f>H750+H759</f>
        <v>33481</v>
      </c>
      <c r="I749" s="5">
        <f>I750+I759</f>
        <v>29024</v>
      </c>
      <c r="J749" s="103">
        <f t="shared" si="97"/>
        <v>86.68797228278726</v>
      </c>
    </row>
    <row r="750" spans="1:10" ht="49.5" customHeight="1">
      <c r="A750" s="23" t="s">
        <v>353</v>
      </c>
      <c r="B750" s="19">
        <v>812</v>
      </c>
      <c r="C750" s="20" t="s">
        <v>379</v>
      </c>
      <c r="D750" s="20" t="s">
        <v>381</v>
      </c>
      <c r="E750" s="20"/>
      <c r="F750" s="39"/>
      <c r="G750" s="6">
        <f>G751</f>
        <v>28481</v>
      </c>
      <c r="H750" s="6">
        <f>H751</f>
        <v>28481</v>
      </c>
      <c r="I750" s="6">
        <f>I751</f>
        <v>24216</v>
      </c>
      <c r="J750" s="99">
        <f t="shared" si="97"/>
        <v>85.02510445560199</v>
      </c>
    </row>
    <row r="751" spans="1:10" ht="49.5" customHeight="1">
      <c r="A751" s="23" t="s">
        <v>307</v>
      </c>
      <c r="B751" s="27">
        <v>812</v>
      </c>
      <c r="C751" s="26" t="s">
        <v>379</v>
      </c>
      <c r="D751" s="26" t="s">
        <v>381</v>
      </c>
      <c r="E751" s="26" t="s">
        <v>233</v>
      </c>
      <c r="F751" s="28"/>
      <c r="G751" s="6">
        <f>G752+G754+G756</f>
        <v>28481</v>
      </c>
      <c r="H751" s="6">
        <f>H752+H754+H756</f>
        <v>28481</v>
      </c>
      <c r="I751" s="6">
        <f>I752+I754+I756</f>
        <v>24216</v>
      </c>
      <c r="J751" s="99">
        <f t="shared" si="97"/>
        <v>85.02510445560199</v>
      </c>
    </row>
    <row r="752" spans="1:10" ht="16.5" customHeight="1">
      <c r="A752" s="8" t="s">
        <v>364</v>
      </c>
      <c r="B752" s="27">
        <v>812</v>
      </c>
      <c r="C752" s="26" t="s">
        <v>379</v>
      </c>
      <c r="D752" s="26" t="s">
        <v>381</v>
      </c>
      <c r="E752" s="26" t="s">
        <v>441</v>
      </c>
      <c r="F752" s="28"/>
      <c r="G752" s="6">
        <f>G753</f>
        <v>24039</v>
      </c>
      <c r="H752" s="6">
        <f>H753</f>
        <v>24039</v>
      </c>
      <c r="I752" s="6">
        <f>I753</f>
        <v>20831</v>
      </c>
      <c r="J752" s="99">
        <f t="shared" si="97"/>
        <v>86.65501892757602</v>
      </c>
    </row>
    <row r="753" spans="1:10" ht="16.5" customHeight="1">
      <c r="A753" s="67" t="s">
        <v>419</v>
      </c>
      <c r="B753" s="55">
        <v>812</v>
      </c>
      <c r="C753" s="57" t="s">
        <v>379</v>
      </c>
      <c r="D753" s="57" t="s">
        <v>381</v>
      </c>
      <c r="E753" s="57" t="s">
        <v>441</v>
      </c>
      <c r="F753" s="53" t="s">
        <v>420</v>
      </c>
      <c r="G753" s="6">
        <f>24539-500</f>
        <v>24039</v>
      </c>
      <c r="H753" s="6">
        <f>24539-500</f>
        <v>24039</v>
      </c>
      <c r="I753" s="6">
        <v>20831</v>
      </c>
      <c r="J753" s="99">
        <f t="shared" si="97"/>
        <v>86.65501892757602</v>
      </c>
    </row>
    <row r="754" spans="1:10" ht="32.25" customHeight="1">
      <c r="A754" s="67" t="s">
        <v>197</v>
      </c>
      <c r="B754" s="27">
        <v>812</v>
      </c>
      <c r="C754" s="26" t="s">
        <v>379</v>
      </c>
      <c r="D754" s="26" t="s">
        <v>381</v>
      </c>
      <c r="E754" s="26" t="s">
        <v>354</v>
      </c>
      <c r="F754" s="28"/>
      <c r="G754" s="9">
        <f>G755</f>
        <v>2570</v>
      </c>
      <c r="H754" s="9">
        <f>H755</f>
        <v>2570</v>
      </c>
      <c r="I754" s="9">
        <f>I755</f>
        <v>1996</v>
      </c>
      <c r="J754" s="99">
        <f t="shared" si="97"/>
        <v>77.66536964980546</v>
      </c>
    </row>
    <row r="755" spans="1:10" ht="16.5" customHeight="1">
      <c r="A755" s="67" t="s">
        <v>419</v>
      </c>
      <c r="B755" s="27">
        <v>812</v>
      </c>
      <c r="C755" s="26" t="s">
        <v>379</v>
      </c>
      <c r="D755" s="26" t="s">
        <v>381</v>
      </c>
      <c r="E755" s="26" t="s">
        <v>354</v>
      </c>
      <c r="F755" s="28" t="s">
        <v>420</v>
      </c>
      <c r="G755" s="9">
        <v>2570</v>
      </c>
      <c r="H755" s="9">
        <v>2570</v>
      </c>
      <c r="I755" s="9">
        <v>1996</v>
      </c>
      <c r="J755" s="99">
        <f t="shared" si="97"/>
        <v>77.66536964980546</v>
      </c>
    </row>
    <row r="756" spans="1:10" ht="16.5" customHeight="1">
      <c r="A756" s="67" t="s">
        <v>198</v>
      </c>
      <c r="B756" s="27">
        <v>812</v>
      </c>
      <c r="C756" s="26" t="s">
        <v>379</v>
      </c>
      <c r="D756" s="26" t="s">
        <v>381</v>
      </c>
      <c r="E756" s="26" t="s">
        <v>355</v>
      </c>
      <c r="F756" s="28"/>
      <c r="G756" s="9">
        <f>G757</f>
        <v>1872</v>
      </c>
      <c r="H756" s="9">
        <f>H757</f>
        <v>1872</v>
      </c>
      <c r="I756" s="9">
        <f>I757</f>
        <v>1389</v>
      </c>
      <c r="J756" s="99">
        <f t="shared" si="97"/>
        <v>74.19871794871796</v>
      </c>
    </row>
    <row r="757" spans="1:10" ht="16.5" customHeight="1">
      <c r="A757" s="67" t="s">
        <v>419</v>
      </c>
      <c r="B757" s="27">
        <v>812</v>
      </c>
      <c r="C757" s="26" t="s">
        <v>379</v>
      </c>
      <c r="D757" s="26" t="s">
        <v>381</v>
      </c>
      <c r="E757" s="26" t="s">
        <v>355</v>
      </c>
      <c r="F757" s="28" t="s">
        <v>420</v>
      </c>
      <c r="G757" s="9">
        <v>1872</v>
      </c>
      <c r="H757" s="9">
        <v>1872</v>
      </c>
      <c r="I757" s="9">
        <v>1389</v>
      </c>
      <c r="J757" s="99">
        <f t="shared" si="97"/>
        <v>74.19871794871796</v>
      </c>
    </row>
    <row r="758" spans="1:10" ht="12" customHeight="1">
      <c r="A758" s="67"/>
      <c r="B758" s="27"/>
      <c r="C758" s="26"/>
      <c r="D758" s="26"/>
      <c r="E758" s="26"/>
      <c r="F758" s="79"/>
      <c r="G758" s="80"/>
      <c r="H758" s="80"/>
      <c r="I758" s="80"/>
      <c r="J758" s="99"/>
    </row>
    <row r="759" spans="1:10" ht="16.5" customHeight="1">
      <c r="A759" s="31" t="s">
        <v>313</v>
      </c>
      <c r="B759" s="27">
        <v>812</v>
      </c>
      <c r="C759" s="26" t="s">
        <v>379</v>
      </c>
      <c r="D759" s="26" t="s">
        <v>314</v>
      </c>
      <c r="E759" s="26"/>
      <c r="F759" s="79"/>
      <c r="G759" s="80">
        <f aca="true" t="shared" si="102" ref="G759:I762">G760</f>
        <v>5000</v>
      </c>
      <c r="H759" s="80">
        <f t="shared" si="102"/>
        <v>5000</v>
      </c>
      <c r="I759" s="80">
        <f t="shared" si="102"/>
        <v>4808</v>
      </c>
      <c r="J759" s="99">
        <f t="shared" si="97"/>
        <v>96.16</v>
      </c>
    </row>
    <row r="760" spans="1:10" ht="32.25" customHeight="1">
      <c r="A760" s="31" t="s">
        <v>409</v>
      </c>
      <c r="B760" s="27">
        <v>812</v>
      </c>
      <c r="C760" s="26" t="s">
        <v>379</v>
      </c>
      <c r="D760" s="26" t="s">
        <v>314</v>
      </c>
      <c r="E760" s="26" t="s">
        <v>316</v>
      </c>
      <c r="F760" s="79"/>
      <c r="G760" s="80">
        <f t="shared" si="102"/>
        <v>5000</v>
      </c>
      <c r="H760" s="80">
        <f t="shared" si="102"/>
        <v>5000</v>
      </c>
      <c r="I760" s="80">
        <f t="shared" si="102"/>
        <v>4808</v>
      </c>
      <c r="J760" s="99">
        <f t="shared" si="97"/>
        <v>96.16</v>
      </c>
    </row>
    <row r="761" spans="1:10" ht="16.5" customHeight="1">
      <c r="A761" s="31" t="s">
        <v>410</v>
      </c>
      <c r="B761" s="27">
        <v>812</v>
      </c>
      <c r="C761" s="26" t="s">
        <v>379</v>
      </c>
      <c r="D761" s="26" t="s">
        <v>314</v>
      </c>
      <c r="E761" s="26" t="s">
        <v>317</v>
      </c>
      <c r="F761" s="79"/>
      <c r="G761" s="80">
        <f t="shared" si="102"/>
        <v>5000</v>
      </c>
      <c r="H761" s="80">
        <f t="shared" si="102"/>
        <v>5000</v>
      </c>
      <c r="I761" s="80">
        <f t="shared" si="102"/>
        <v>4808</v>
      </c>
      <c r="J761" s="99">
        <f t="shared" si="97"/>
        <v>96.16</v>
      </c>
    </row>
    <row r="762" spans="1:10" ht="32.25" customHeight="1">
      <c r="A762" s="66" t="s">
        <v>457</v>
      </c>
      <c r="B762" s="27">
        <v>812</v>
      </c>
      <c r="C762" s="54" t="s">
        <v>379</v>
      </c>
      <c r="D762" s="54" t="s">
        <v>314</v>
      </c>
      <c r="E762" s="54" t="s">
        <v>43</v>
      </c>
      <c r="F762" s="56"/>
      <c r="G762" s="80">
        <f t="shared" si="102"/>
        <v>5000</v>
      </c>
      <c r="H762" s="80">
        <f t="shared" si="102"/>
        <v>5000</v>
      </c>
      <c r="I762" s="80">
        <f t="shared" si="102"/>
        <v>4808</v>
      </c>
      <c r="J762" s="99">
        <f t="shared" si="97"/>
        <v>96.16</v>
      </c>
    </row>
    <row r="763" spans="1:10" ht="16.5" customHeight="1">
      <c r="A763" s="67" t="s">
        <v>419</v>
      </c>
      <c r="B763" s="27">
        <v>812</v>
      </c>
      <c r="C763" s="54" t="s">
        <v>379</v>
      </c>
      <c r="D763" s="54" t="s">
        <v>314</v>
      </c>
      <c r="E763" s="54" t="s">
        <v>43</v>
      </c>
      <c r="F763" s="56" t="s">
        <v>420</v>
      </c>
      <c r="G763" s="80">
        <v>5000</v>
      </c>
      <c r="H763" s="80">
        <v>5000</v>
      </c>
      <c r="I763" s="80">
        <v>4808</v>
      </c>
      <c r="J763" s="99">
        <f t="shared" si="97"/>
        <v>96.16</v>
      </c>
    </row>
    <row r="764" spans="1:10" ht="12" customHeight="1">
      <c r="A764" s="81"/>
      <c r="B764" s="82"/>
      <c r="C764" s="83"/>
      <c r="D764" s="83"/>
      <c r="E764" s="83"/>
      <c r="F764" s="84"/>
      <c r="G764" s="80"/>
      <c r="H764" s="80"/>
      <c r="I764" s="80"/>
      <c r="J764" s="99"/>
    </row>
    <row r="765" spans="1:10" ht="16.5" customHeight="1">
      <c r="A765" s="24" t="s">
        <v>534</v>
      </c>
      <c r="B765" s="15">
        <v>813</v>
      </c>
      <c r="C765" s="30"/>
      <c r="D765" s="30"/>
      <c r="E765" s="15"/>
      <c r="F765" s="33"/>
      <c r="G765" s="5">
        <f aca="true" t="shared" si="103" ref="G765:I766">G766</f>
        <v>33736</v>
      </c>
      <c r="H765" s="5">
        <f t="shared" si="103"/>
        <v>33736</v>
      </c>
      <c r="I765" s="5">
        <f t="shared" si="103"/>
        <v>33369</v>
      </c>
      <c r="J765" s="103">
        <f t="shared" si="97"/>
        <v>98.91214133270097</v>
      </c>
    </row>
    <row r="766" spans="1:10" ht="16.5" customHeight="1">
      <c r="A766" s="62" t="s">
        <v>425</v>
      </c>
      <c r="B766" s="15">
        <v>813</v>
      </c>
      <c r="C766" s="30" t="s">
        <v>379</v>
      </c>
      <c r="D766" s="30"/>
      <c r="E766" s="15"/>
      <c r="F766" s="33"/>
      <c r="G766" s="5">
        <f t="shared" si="103"/>
        <v>33736</v>
      </c>
      <c r="H766" s="5">
        <f t="shared" si="103"/>
        <v>33736</v>
      </c>
      <c r="I766" s="5">
        <f t="shared" si="103"/>
        <v>33369</v>
      </c>
      <c r="J766" s="103">
        <f t="shared" si="97"/>
        <v>98.91214133270097</v>
      </c>
    </row>
    <row r="767" spans="1:10" ht="16.5" customHeight="1">
      <c r="A767" s="31" t="s">
        <v>313</v>
      </c>
      <c r="B767" s="27">
        <v>813</v>
      </c>
      <c r="C767" s="26" t="s">
        <v>379</v>
      </c>
      <c r="D767" s="20" t="s">
        <v>314</v>
      </c>
      <c r="E767" s="15"/>
      <c r="F767" s="33"/>
      <c r="G767" s="10">
        <f>G768+G771+G778</f>
        <v>33736</v>
      </c>
      <c r="H767" s="10">
        <f>H768+H771+H778</f>
        <v>33736</v>
      </c>
      <c r="I767" s="10">
        <f>I768+I771+I778</f>
        <v>33369</v>
      </c>
      <c r="J767" s="99">
        <f t="shared" si="97"/>
        <v>98.91214133270097</v>
      </c>
    </row>
    <row r="768" spans="1:10" ht="49.5" customHeight="1">
      <c r="A768" s="23" t="s">
        <v>307</v>
      </c>
      <c r="B768" s="27">
        <v>813</v>
      </c>
      <c r="C768" s="26" t="s">
        <v>379</v>
      </c>
      <c r="D768" s="26" t="s">
        <v>314</v>
      </c>
      <c r="E768" s="26" t="s">
        <v>233</v>
      </c>
      <c r="F768" s="28"/>
      <c r="G768" s="10">
        <f aca="true" t="shared" si="104" ref="G768:I769">G769</f>
        <v>21928</v>
      </c>
      <c r="H768" s="10">
        <f t="shared" si="104"/>
        <v>21928</v>
      </c>
      <c r="I768" s="10">
        <f t="shared" si="104"/>
        <v>21731</v>
      </c>
      <c r="J768" s="99">
        <f t="shared" si="97"/>
        <v>99.1016052535571</v>
      </c>
    </row>
    <row r="769" spans="1:10" ht="16.5" customHeight="1">
      <c r="A769" s="8" t="s">
        <v>364</v>
      </c>
      <c r="B769" s="27">
        <v>813</v>
      </c>
      <c r="C769" s="26" t="s">
        <v>379</v>
      </c>
      <c r="D769" s="26" t="s">
        <v>314</v>
      </c>
      <c r="E769" s="26" t="s">
        <v>441</v>
      </c>
      <c r="F769" s="28"/>
      <c r="G769" s="10">
        <f t="shared" si="104"/>
        <v>21928</v>
      </c>
      <c r="H769" s="10">
        <f t="shared" si="104"/>
        <v>21928</v>
      </c>
      <c r="I769" s="10">
        <f t="shared" si="104"/>
        <v>21731</v>
      </c>
      <c r="J769" s="99">
        <f t="shared" si="97"/>
        <v>99.1016052535571</v>
      </c>
    </row>
    <row r="770" spans="1:10" ht="16.5" customHeight="1">
      <c r="A770" s="67" t="s">
        <v>419</v>
      </c>
      <c r="B770" s="27">
        <v>813</v>
      </c>
      <c r="C770" s="26" t="s">
        <v>379</v>
      </c>
      <c r="D770" s="26" t="s">
        <v>314</v>
      </c>
      <c r="E770" s="26" t="s">
        <v>441</v>
      </c>
      <c r="F770" s="28" t="s">
        <v>420</v>
      </c>
      <c r="G770" s="10">
        <f>24211-315-1000-968</f>
        <v>21928</v>
      </c>
      <c r="H770" s="10">
        <f>24211-315-1000-968</f>
        <v>21928</v>
      </c>
      <c r="I770" s="10">
        <v>21731</v>
      </c>
      <c r="J770" s="99">
        <f t="shared" si="97"/>
        <v>99.1016052535571</v>
      </c>
    </row>
    <row r="771" spans="1:10" ht="32.25" customHeight="1">
      <c r="A771" s="31" t="s">
        <v>403</v>
      </c>
      <c r="B771" s="27">
        <v>813</v>
      </c>
      <c r="C771" s="26" t="s">
        <v>379</v>
      </c>
      <c r="D771" s="26" t="s">
        <v>314</v>
      </c>
      <c r="E771" s="26" t="s">
        <v>351</v>
      </c>
      <c r="F771" s="28"/>
      <c r="G771" s="10">
        <f>G772+G774+G776</f>
        <v>11808</v>
      </c>
      <c r="H771" s="10">
        <f>H772+H774+H776</f>
        <v>11808</v>
      </c>
      <c r="I771" s="10">
        <f>I772+I774+I776</f>
        <v>11638</v>
      </c>
      <c r="J771" s="99">
        <f t="shared" si="97"/>
        <v>98.56029810298102</v>
      </c>
    </row>
    <row r="772" spans="1:10" ht="32.25" customHeight="1">
      <c r="A772" s="8" t="s">
        <v>398</v>
      </c>
      <c r="B772" s="27">
        <v>813</v>
      </c>
      <c r="C772" s="26" t="s">
        <v>379</v>
      </c>
      <c r="D772" s="26" t="s">
        <v>314</v>
      </c>
      <c r="E772" s="26" t="s">
        <v>352</v>
      </c>
      <c r="F772" s="28"/>
      <c r="G772" s="10">
        <f>G773</f>
        <v>5987</v>
      </c>
      <c r="H772" s="10">
        <f>H773</f>
        <v>6624</v>
      </c>
      <c r="I772" s="10">
        <f>I773</f>
        <v>6624</v>
      </c>
      <c r="J772" s="99">
        <f t="shared" si="97"/>
        <v>100</v>
      </c>
    </row>
    <row r="773" spans="1:10" ht="16.5" customHeight="1">
      <c r="A773" s="67" t="s">
        <v>419</v>
      </c>
      <c r="B773" s="27">
        <v>813</v>
      </c>
      <c r="C773" s="26" t="s">
        <v>379</v>
      </c>
      <c r="D773" s="26" t="s">
        <v>314</v>
      </c>
      <c r="E773" s="26" t="s">
        <v>352</v>
      </c>
      <c r="F773" s="28" t="s">
        <v>420</v>
      </c>
      <c r="G773" s="10">
        <f>8384-2397</f>
        <v>5987</v>
      </c>
      <c r="H773" s="10">
        <v>6624</v>
      </c>
      <c r="I773" s="10">
        <v>6624</v>
      </c>
      <c r="J773" s="99">
        <f t="shared" si="97"/>
        <v>100</v>
      </c>
    </row>
    <row r="774" spans="1:10" ht="16.5" customHeight="1">
      <c r="A774" s="8" t="s">
        <v>529</v>
      </c>
      <c r="B774" s="27">
        <v>813</v>
      </c>
      <c r="C774" s="26" t="s">
        <v>379</v>
      </c>
      <c r="D774" s="26" t="s">
        <v>314</v>
      </c>
      <c r="E774" s="26" t="s">
        <v>530</v>
      </c>
      <c r="F774" s="28"/>
      <c r="G774" s="10">
        <f>G775</f>
        <v>345</v>
      </c>
      <c r="H774" s="10">
        <f>H775</f>
        <v>268</v>
      </c>
      <c r="I774" s="10">
        <f>I775</f>
        <v>209</v>
      </c>
      <c r="J774" s="99">
        <f t="shared" si="97"/>
        <v>77.98507462686567</v>
      </c>
    </row>
    <row r="775" spans="1:10" ht="16.5" customHeight="1">
      <c r="A775" s="67" t="s">
        <v>419</v>
      </c>
      <c r="B775" s="27">
        <v>813</v>
      </c>
      <c r="C775" s="26" t="s">
        <v>379</v>
      </c>
      <c r="D775" s="26" t="s">
        <v>314</v>
      </c>
      <c r="E775" s="26" t="s">
        <v>530</v>
      </c>
      <c r="F775" s="28" t="s">
        <v>420</v>
      </c>
      <c r="G775" s="10">
        <f>400-55</f>
        <v>345</v>
      </c>
      <c r="H775" s="10">
        <v>268</v>
      </c>
      <c r="I775" s="10">
        <v>209</v>
      </c>
      <c r="J775" s="99">
        <f t="shared" si="97"/>
        <v>77.98507462686567</v>
      </c>
    </row>
    <row r="776" spans="1:10" ht="16.5" customHeight="1">
      <c r="A776" s="64" t="s">
        <v>41</v>
      </c>
      <c r="B776" s="27">
        <v>813</v>
      </c>
      <c r="C776" s="26" t="s">
        <v>379</v>
      </c>
      <c r="D776" s="26" t="s">
        <v>314</v>
      </c>
      <c r="E776" s="26" t="s">
        <v>42</v>
      </c>
      <c r="F776" s="28"/>
      <c r="G776" s="10">
        <f>G777</f>
        <v>5476</v>
      </c>
      <c r="H776" s="10">
        <f>H777</f>
        <v>4916</v>
      </c>
      <c r="I776" s="10">
        <f>I777</f>
        <v>4805</v>
      </c>
      <c r="J776" s="99">
        <f t="shared" si="97"/>
        <v>97.74206672091131</v>
      </c>
    </row>
    <row r="777" spans="1:10" ht="16.5" customHeight="1">
      <c r="A777" s="66" t="s">
        <v>419</v>
      </c>
      <c r="B777" s="27">
        <v>813</v>
      </c>
      <c r="C777" s="26" t="s">
        <v>379</v>
      </c>
      <c r="D777" s="26" t="s">
        <v>314</v>
      </c>
      <c r="E777" s="26" t="s">
        <v>42</v>
      </c>
      <c r="F777" s="28" t="s">
        <v>420</v>
      </c>
      <c r="G777" s="10">
        <v>5476</v>
      </c>
      <c r="H777" s="10">
        <v>4916</v>
      </c>
      <c r="I777" s="10">
        <v>4805</v>
      </c>
      <c r="J777" s="99">
        <f t="shared" si="97"/>
        <v>97.74206672091131</v>
      </c>
    </row>
    <row r="778" spans="1:10" ht="18" customHeight="1" hidden="1">
      <c r="A778" s="23" t="s">
        <v>199</v>
      </c>
      <c r="B778" s="27">
        <v>813</v>
      </c>
      <c r="C778" s="54" t="s">
        <v>379</v>
      </c>
      <c r="D778" s="54" t="s">
        <v>314</v>
      </c>
      <c r="E778" s="54" t="s">
        <v>417</v>
      </c>
      <c r="F778" s="56"/>
      <c r="G778" s="10">
        <f aca="true" t="shared" si="105" ref="G778:I779">G779</f>
        <v>0</v>
      </c>
      <c r="H778" s="10">
        <f t="shared" si="105"/>
        <v>0</v>
      </c>
      <c r="I778" s="10">
        <f t="shared" si="105"/>
        <v>0</v>
      </c>
      <c r="J778" s="99" t="e">
        <f t="shared" si="97"/>
        <v>#DIV/0!</v>
      </c>
    </row>
    <row r="779" spans="1:10" ht="48.75" customHeight="1" hidden="1">
      <c r="A779" s="64" t="s">
        <v>499</v>
      </c>
      <c r="B779" s="27">
        <v>813</v>
      </c>
      <c r="C779" s="26" t="s">
        <v>379</v>
      </c>
      <c r="D779" s="26" t="s">
        <v>314</v>
      </c>
      <c r="E779" s="27" t="s">
        <v>481</v>
      </c>
      <c r="F779" s="28"/>
      <c r="G779" s="10">
        <f t="shared" si="105"/>
        <v>0</v>
      </c>
      <c r="H779" s="10">
        <f t="shared" si="105"/>
        <v>0</v>
      </c>
      <c r="I779" s="10">
        <f t="shared" si="105"/>
        <v>0</v>
      </c>
      <c r="J779" s="99" t="e">
        <f t="shared" si="97"/>
        <v>#DIV/0!</v>
      </c>
    </row>
    <row r="780" spans="1:10" ht="18" customHeight="1" hidden="1">
      <c r="A780" s="67" t="s">
        <v>419</v>
      </c>
      <c r="B780" s="27">
        <v>813</v>
      </c>
      <c r="C780" s="26" t="s">
        <v>379</v>
      </c>
      <c r="D780" s="26" t="s">
        <v>314</v>
      </c>
      <c r="E780" s="27" t="s">
        <v>481</v>
      </c>
      <c r="F780" s="28" t="s">
        <v>420</v>
      </c>
      <c r="G780" s="10">
        <f>208-208</f>
        <v>0</v>
      </c>
      <c r="H780" s="10">
        <f>208-208</f>
        <v>0</v>
      </c>
      <c r="I780" s="10">
        <f>208-208</f>
        <v>0</v>
      </c>
      <c r="J780" s="99" t="e">
        <f t="shared" si="97"/>
        <v>#DIV/0!</v>
      </c>
    </row>
    <row r="781" spans="1:10" ht="12" customHeight="1">
      <c r="A781" s="81"/>
      <c r="B781" s="82"/>
      <c r="C781" s="83"/>
      <c r="D781" s="83"/>
      <c r="E781" s="83"/>
      <c r="F781" s="84"/>
      <c r="G781" s="80"/>
      <c r="H781" s="80"/>
      <c r="I781" s="80"/>
      <c r="J781" s="99"/>
    </row>
    <row r="782" spans="1:10" ht="16.5" customHeight="1">
      <c r="A782" s="24" t="s">
        <v>477</v>
      </c>
      <c r="B782" s="15">
        <v>814</v>
      </c>
      <c r="C782" s="16"/>
      <c r="D782" s="16"/>
      <c r="E782" s="17"/>
      <c r="F782" s="18"/>
      <c r="G782" s="5">
        <f aca="true" t="shared" si="106" ref="G782:I783">G783</f>
        <v>159403</v>
      </c>
      <c r="H782" s="5">
        <f t="shared" si="106"/>
        <v>161901</v>
      </c>
      <c r="I782" s="5">
        <f t="shared" si="106"/>
        <v>161669</v>
      </c>
      <c r="J782" s="103">
        <f aca="true" t="shared" si="107" ref="J782:J844">I782/H782*100</f>
        <v>99.8567025527946</v>
      </c>
    </row>
    <row r="783" spans="1:10" ht="16.5" customHeight="1">
      <c r="A783" s="62" t="s">
        <v>415</v>
      </c>
      <c r="B783" s="15">
        <v>814</v>
      </c>
      <c r="C783" s="68" t="s">
        <v>381</v>
      </c>
      <c r="D783" s="69"/>
      <c r="E783" s="17"/>
      <c r="F783" s="18"/>
      <c r="G783" s="5">
        <f t="shared" si="106"/>
        <v>159403</v>
      </c>
      <c r="H783" s="5">
        <f t="shared" si="106"/>
        <v>161901</v>
      </c>
      <c r="I783" s="5">
        <f t="shared" si="106"/>
        <v>161669</v>
      </c>
      <c r="J783" s="103">
        <f t="shared" si="107"/>
        <v>99.8567025527946</v>
      </c>
    </row>
    <row r="784" spans="1:10" ht="16.5" customHeight="1">
      <c r="A784" s="63" t="s">
        <v>416</v>
      </c>
      <c r="B784" s="19">
        <v>814</v>
      </c>
      <c r="C784" s="20" t="s">
        <v>381</v>
      </c>
      <c r="D784" s="20" t="s">
        <v>380</v>
      </c>
      <c r="E784" s="19"/>
      <c r="F784" s="21"/>
      <c r="G784" s="10">
        <f>G785+G798</f>
        <v>159403</v>
      </c>
      <c r="H784" s="10">
        <f>H785+H798</f>
        <v>161901</v>
      </c>
      <c r="I784" s="10">
        <f>I785+I798</f>
        <v>161669</v>
      </c>
      <c r="J784" s="99">
        <f t="shared" si="107"/>
        <v>99.8567025527946</v>
      </c>
    </row>
    <row r="785" spans="1:10" ht="16.5" customHeight="1">
      <c r="A785" s="23" t="s">
        <v>374</v>
      </c>
      <c r="B785" s="19">
        <v>814</v>
      </c>
      <c r="C785" s="20" t="s">
        <v>381</v>
      </c>
      <c r="D785" s="20" t="s">
        <v>380</v>
      </c>
      <c r="E785" s="27" t="s">
        <v>330</v>
      </c>
      <c r="F785" s="28"/>
      <c r="G785" s="10">
        <f>G788+G790+G792+G794+G796+G786</f>
        <v>158993</v>
      </c>
      <c r="H785" s="10">
        <f>H788+H790+H792+H794+H796+H786</f>
        <v>161491</v>
      </c>
      <c r="I785" s="10">
        <f>I788+I790+I792+I794+I796+I786</f>
        <v>161259</v>
      </c>
      <c r="J785" s="99">
        <f t="shared" si="107"/>
        <v>99.85633874333554</v>
      </c>
    </row>
    <row r="786" spans="1:10" ht="66" customHeight="1">
      <c r="A786" s="23" t="s">
        <v>326</v>
      </c>
      <c r="B786" s="19">
        <v>814</v>
      </c>
      <c r="C786" s="20" t="s">
        <v>381</v>
      </c>
      <c r="D786" s="20" t="s">
        <v>380</v>
      </c>
      <c r="E786" s="27" t="s">
        <v>331</v>
      </c>
      <c r="F786" s="28"/>
      <c r="G786" s="10">
        <f>G787</f>
        <v>30238</v>
      </c>
      <c r="H786" s="10">
        <f>H787</f>
        <v>32736</v>
      </c>
      <c r="I786" s="10">
        <f>I787</f>
        <v>32736</v>
      </c>
      <c r="J786" s="99">
        <f t="shared" si="107"/>
        <v>100</v>
      </c>
    </row>
    <row r="787" spans="1:10" ht="32.25" customHeight="1">
      <c r="A787" s="60" t="s">
        <v>327</v>
      </c>
      <c r="B787" s="19">
        <v>814</v>
      </c>
      <c r="C787" s="20" t="s">
        <v>381</v>
      </c>
      <c r="D787" s="20" t="s">
        <v>380</v>
      </c>
      <c r="E787" s="27" t="s">
        <v>331</v>
      </c>
      <c r="F787" s="28" t="s">
        <v>315</v>
      </c>
      <c r="G787" s="10">
        <f>30237+1</f>
        <v>30238</v>
      </c>
      <c r="H787" s="10">
        <v>32736</v>
      </c>
      <c r="I787" s="10">
        <v>32736</v>
      </c>
      <c r="J787" s="99">
        <f t="shared" si="107"/>
        <v>100</v>
      </c>
    </row>
    <row r="788" spans="1:10" ht="16.5" customHeight="1">
      <c r="A788" s="23" t="s">
        <v>328</v>
      </c>
      <c r="B788" s="19">
        <v>814</v>
      </c>
      <c r="C788" s="20" t="s">
        <v>381</v>
      </c>
      <c r="D788" s="20" t="s">
        <v>380</v>
      </c>
      <c r="E788" s="27" t="s">
        <v>332</v>
      </c>
      <c r="F788" s="28"/>
      <c r="G788" s="10">
        <f>G789</f>
        <v>99311</v>
      </c>
      <c r="H788" s="10">
        <f>H789</f>
        <v>99311</v>
      </c>
      <c r="I788" s="10">
        <f>I789</f>
        <v>99311</v>
      </c>
      <c r="J788" s="99">
        <f t="shared" si="107"/>
        <v>100</v>
      </c>
    </row>
    <row r="789" spans="1:10" ht="32.25" customHeight="1">
      <c r="A789" s="23" t="s">
        <v>327</v>
      </c>
      <c r="B789" s="19">
        <v>814</v>
      </c>
      <c r="C789" s="26" t="s">
        <v>381</v>
      </c>
      <c r="D789" s="26" t="s">
        <v>380</v>
      </c>
      <c r="E789" s="27" t="s">
        <v>332</v>
      </c>
      <c r="F789" s="28" t="s">
        <v>315</v>
      </c>
      <c r="G789" s="10">
        <f>101111-1800</f>
        <v>99311</v>
      </c>
      <c r="H789" s="10">
        <f>101111-1800</f>
        <v>99311</v>
      </c>
      <c r="I789" s="10">
        <f>101111-1800</f>
        <v>99311</v>
      </c>
      <c r="J789" s="99">
        <f t="shared" si="107"/>
        <v>100</v>
      </c>
    </row>
    <row r="790" spans="1:10" ht="16.5" customHeight="1">
      <c r="A790" s="60" t="s">
        <v>375</v>
      </c>
      <c r="B790" s="19">
        <v>814</v>
      </c>
      <c r="C790" s="54" t="s">
        <v>381</v>
      </c>
      <c r="D790" s="54" t="s">
        <v>380</v>
      </c>
      <c r="E790" s="55" t="s">
        <v>333</v>
      </c>
      <c r="F790" s="56"/>
      <c r="G790" s="10">
        <f>G791</f>
        <v>12641</v>
      </c>
      <c r="H790" s="10">
        <f>H791</f>
        <v>12641</v>
      </c>
      <c r="I790" s="10">
        <f>I791</f>
        <v>12448</v>
      </c>
      <c r="J790" s="99">
        <f t="shared" si="107"/>
        <v>98.47322205521715</v>
      </c>
    </row>
    <row r="791" spans="1:10" ht="32.25" customHeight="1">
      <c r="A791" s="60" t="s">
        <v>327</v>
      </c>
      <c r="B791" s="19">
        <v>814</v>
      </c>
      <c r="C791" s="54" t="s">
        <v>381</v>
      </c>
      <c r="D791" s="54" t="s">
        <v>380</v>
      </c>
      <c r="E791" s="55" t="s">
        <v>333</v>
      </c>
      <c r="F791" s="56" t="s">
        <v>315</v>
      </c>
      <c r="G791" s="10">
        <f>12865-224</f>
        <v>12641</v>
      </c>
      <c r="H791" s="10">
        <f>12865-224</f>
        <v>12641</v>
      </c>
      <c r="I791" s="10">
        <v>12448</v>
      </c>
      <c r="J791" s="99">
        <f t="shared" si="107"/>
        <v>98.47322205521715</v>
      </c>
    </row>
    <row r="792" spans="1:10" ht="32.25" customHeight="1">
      <c r="A792" s="23" t="s">
        <v>329</v>
      </c>
      <c r="B792" s="19">
        <v>814</v>
      </c>
      <c r="C792" s="26" t="s">
        <v>381</v>
      </c>
      <c r="D792" s="26" t="s">
        <v>380</v>
      </c>
      <c r="E792" s="27" t="s">
        <v>334</v>
      </c>
      <c r="F792" s="28"/>
      <c r="G792" s="10">
        <f>G793</f>
        <v>11355</v>
      </c>
      <c r="H792" s="10">
        <f>H793</f>
        <v>11355</v>
      </c>
      <c r="I792" s="10">
        <f>I793</f>
        <v>11348</v>
      </c>
      <c r="J792" s="99">
        <f t="shared" si="107"/>
        <v>99.93835314839278</v>
      </c>
    </row>
    <row r="793" spans="1:10" ht="32.25" customHeight="1">
      <c r="A793" s="23" t="s">
        <v>327</v>
      </c>
      <c r="B793" s="19">
        <v>814</v>
      </c>
      <c r="C793" s="26" t="s">
        <v>381</v>
      </c>
      <c r="D793" s="26" t="s">
        <v>380</v>
      </c>
      <c r="E793" s="27" t="s">
        <v>334</v>
      </c>
      <c r="F793" s="28" t="s">
        <v>315</v>
      </c>
      <c r="G793" s="10">
        <f>11102+253</f>
        <v>11355</v>
      </c>
      <c r="H793" s="10">
        <f>11102+253</f>
        <v>11355</v>
      </c>
      <c r="I793" s="10">
        <v>11348</v>
      </c>
      <c r="J793" s="99">
        <f t="shared" si="107"/>
        <v>99.93835314839278</v>
      </c>
    </row>
    <row r="794" spans="1:10" ht="16.5" customHeight="1">
      <c r="A794" s="23" t="s">
        <v>204</v>
      </c>
      <c r="B794" s="19">
        <v>814</v>
      </c>
      <c r="C794" s="26" t="s">
        <v>381</v>
      </c>
      <c r="D794" s="26" t="s">
        <v>380</v>
      </c>
      <c r="E794" s="27" t="s">
        <v>335</v>
      </c>
      <c r="F794" s="28"/>
      <c r="G794" s="10">
        <f>G795</f>
        <v>686</v>
      </c>
      <c r="H794" s="10">
        <f>H795</f>
        <v>686</v>
      </c>
      <c r="I794" s="10">
        <f>I795</f>
        <v>686</v>
      </c>
      <c r="J794" s="99">
        <f t="shared" si="107"/>
        <v>100</v>
      </c>
    </row>
    <row r="795" spans="1:10" ht="32.25" customHeight="1">
      <c r="A795" s="23" t="s">
        <v>327</v>
      </c>
      <c r="B795" s="19">
        <v>814</v>
      </c>
      <c r="C795" s="26" t="s">
        <v>381</v>
      </c>
      <c r="D795" s="26" t="s">
        <v>380</v>
      </c>
      <c r="E795" s="27" t="s">
        <v>335</v>
      </c>
      <c r="F795" s="28" t="s">
        <v>315</v>
      </c>
      <c r="G795" s="10">
        <f>558+128</f>
        <v>686</v>
      </c>
      <c r="H795" s="10">
        <f>558+128</f>
        <v>686</v>
      </c>
      <c r="I795" s="10">
        <f>558+128</f>
        <v>686</v>
      </c>
      <c r="J795" s="99">
        <f t="shared" si="107"/>
        <v>100</v>
      </c>
    </row>
    <row r="796" spans="1:10" ht="32.25" customHeight="1">
      <c r="A796" s="23" t="s">
        <v>411</v>
      </c>
      <c r="B796" s="19">
        <v>814</v>
      </c>
      <c r="C796" s="26" t="s">
        <v>381</v>
      </c>
      <c r="D796" s="26" t="s">
        <v>380</v>
      </c>
      <c r="E796" s="27" t="s">
        <v>336</v>
      </c>
      <c r="F796" s="28"/>
      <c r="G796" s="10">
        <f>G797</f>
        <v>4762</v>
      </c>
      <c r="H796" s="10">
        <f>H797</f>
        <v>4762</v>
      </c>
      <c r="I796" s="10">
        <f>I797</f>
        <v>4730</v>
      </c>
      <c r="J796" s="99">
        <f t="shared" si="107"/>
        <v>99.32801343973121</v>
      </c>
    </row>
    <row r="797" spans="1:10" ht="16.5" customHeight="1">
      <c r="A797" s="23" t="s">
        <v>258</v>
      </c>
      <c r="B797" s="19">
        <v>814</v>
      </c>
      <c r="C797" s="26" t="s">
        <v>381</v>
      </c>
      <c r="D797" s="26" t="s">
        <v>380</v>
      </c>
      <c r="E797" s="27" t="s">
        <v>336</v>
      </c>
      <c r="F797" s="28" t="s">
        <v>363</v>
      </c>
      <c r="G797" s="10">
        <f>3119+1643</f>
        <v>4762</v>
      </c>
      <c r="H797" s="10">
        <f>3119+1643</f>
        <v>4762</v>
      </c>
      <c r="I797" s="10">
        <v>4730</v>
      </c>
      <c r="J797" s="99">
        <f t="shared" si="107"/>
        <v>99.32801343973121</v>
      </c>
    </row>
    <row r="798" spans="1:10" ht="16.5" customHeight="1">
      <c r="A798" s="23" t="s">
        <v>199</v>
      </c>
      <c r="B798" s="19">
        <v>814</v>
      </c>
      <c r="C798" s="26" t="s">
        <v>381</v>
      </c>
      <c r="D798" s="26" t="s">
        <v>380</v>
      </c>
      <c r="E798" s="27" t="s">
        <v>417</v>
      </c>
      <c r="F798" s="28"/>
      <c r="G798" s="10">
        <f aca="true" t="shared" si="108" ref="G798:I799">G799</f>
        <v>410</v>
      </c>
      <c r="H798" s="10">
        <f t="shared" si="108"/>
        <v>410</v>
      </c>
      <c r="I798" s="10">
        <f t="shared" si="108"/>
        <v>410</v>
      </c>
      <c r="J798" s="99">
        <f t="shared" si="107"/>
        <v>100</v>
      </c>
    </row>
    <row r="799" spans="1:10" ht="49.5" customHeight="1">
      <c r="A799" s="23" t="s">
        <v>547</v>
      </c>
      <c r="B799" s="19">
        <v>814</v>
      </c>
      <c r="C799" s="26" t="s">
        <v>381</v>
      </c>
      <c r="D799" s="26" t="s">
        <v>380</v>
      </c>
      <c r="E799" s="27" t="s">
        <v>418</v>
      </c>
      <c r="F799" s="28"/>
      <c r="G799" s="10">
        <f t="shared" si="108"/>
        <v>410</v>
      </c>
      <c r="H799" s="10">
        <f t="shared" si="108"/>
        <v>410</v>
      </c>
      <c r="I799" s="10">
        <f t="shared" si="108"/>
        <v>410</v>
      </c>
      <c r="J799" s="99">
        <f t="shared" si="107"/>
        <v>100</v>
      </c>
    </row>
    <row r="800" spans="1:10" ht="32.25" customHeight="1">
      <c r="A800" s="60" t="s">
        <v>327</v>
      </c>
      <c r="B800" s="19">
        <v>814</v>
      </c>
      <c r="C800" s="54" t="s">
        <v>381</v>
      </c>
      <c r="D800" s="54" t="s">
        <v>380</v>
      </c>
      <c r="E800" s="55" t="s">
        <v>418</v>
      </c>
      <c r="F800" s="56" t="s">
        <v>315</v>
      </c>
      <c r="G800" s="10">
        <f>1720-1170-140</f>
        <v>410</v>
      </c>
      <c r="H800" s="10">
        <f>1720-1170-140</f>
        <v>410</v>
      </c>
      <c r="I800" s="10">
        <f>1720-1170-140</f>
        <v>410</v>
      </c>
      <c r="J800" s="99">
        <f t="shared" si="107"/>
        <v>100</v>
      </c>
    </row>
    <row r="801" spans="1:10" ht="12" customHeight="1">
      <c r="A801" s="81"/>
      <c r="B801" s="82"/>
      <c r="C801" s="83"/>
      <c r="D801" s="83"/>
      <c r="E801" s="83"/>
      <c r="F801" s="84"/>
      <c r="G801" s="80"/>
      <c r="H801" s="80"/>
      <c r="I801" s="80"/>
      <c r="J801" s="99"/>
    </row>
    <row r="802" spans="1:10" ht="16.5" customHeight="1">
      <c r="A802" s="24" t="s">
        <v>488</v>
      </c>
      <c r="B802" s="30" t="s">
        <v>45</v>
      </c>
      <c r="C802" s="30"/>
      <c r="D802" s="30"/>
      <c r="E802" s="15"/>
      <c r="F802" s="33"/>
      <c r="G802" s="5">
        <f>G803+G912</f>
        <v>2020204</v>
      </c>
      <c r="H802" s="5">
        <f>H803+H912</f>
        <v>2031008</v>
      </c>
      <c r="I802" s="5">
        <f>I803+I912</f>
        <v>1997543</v>
      </c>
      <c r="J802" s="103">
        <f t="shared" si="107"/>
        <v>98.35229600277302</v>
      </c>
    </row>
    <row r="803" spans="1:10" ht="16.5" customHeight="1">
      <c r="A803" s="62" t="s">
        <v>238</v>
      </c>
      <c r="B803" s="30" t="s">
        <v>45</v>
      </c>
      <c r="C803" s="30" t="s">
        <v>384</v>
      </c>
      <c r="D803" s="30"/>
      <c r="E803" s="15"/>
      <c r="F803" s="33"/>
      <c r="G803" s="5">
        <f>G804+G825+G855+G861</f>
        <v>1956099</v>
      </c>
      <c r="H803" s="5">
        <f>H804+H825+H855+H861</f>
        <v>1968103</v>
      </c>
      <c r="I803" s="5">
        <f>I804+I825+I855+I861</f>
        <v>1939114</v>
      </c>
      <c r="J803" s="103">
        <f t="shared" si="107"/>
        <v>98.52705879722758</v>
      </c>
    </row>
    <row r="804" spans="1:10" ht="16.5" customHeight="1">
      <c r="A804" s="31" t="s">
        <v>240</v>
      </c>
      <c r="B804" s="26" t="s">
        <v>45</v>
      </c>
      <c r="C804" s="26" t="s">
        <v>384</v>
      </c>
      <c r="D804" s="26" t="s">
        <v>379</v>
      </c>
      <c r="E804" s="34"/>
      <c r="F804" s="35"/>
      <c r="G804" s="10">
        <f>G811+G814+G805+G820</f>
        <v>877085</v>
      </c>
      <c r="H804" s="10">
        <f>H811+H814+H805+H820</f>
        <v>882316</v>
      </c>
      <c r="I804" s="10">
        <f>I811+I814+I805+I820</f>
        <v>870488</v>
      </c>
      <c r="J804" s="99">
        <f t="shared" si="107"/>
        <v>98.6594372084378</v>
      </c>
    </row>
    <row r="805" spans="1:10" ht="16.5" customHeight="1">
      <c r="A805" s="60" t="s">
        <v>371</v>
      </c>
      <c r="B805" s="26" t="s">
        <v>45</v>
      </c>
      <c r="C805" s="26" t="s">
        <v>384</v>
      </c>
      <c r="D805" s="26" t="s">
        <v>379</v>
      </c>
      <c r="E805" s="27" t="s">
        <v>427</v>
      </c>
      <c r="F805" s="28"/>
      <c r="G805" s="10">
        <f>G806+G808</f>
        <v>400</v>
      </c>
      <c r="H805" s="10">
        <f>H806+H808</f>
        <v>5631</v>
      </c>
      <c r="I805" s="10">
        <f>I806+I808</f>
        <v>5631</v>
      </c>
      <c r="J805" s="99">
        <f t="shared" si="107"/>
        <v>100</v>
      </c>
    </row>
    <row r="806" spans="1:10" ht="16.5" customHeight="1">
      <c r="A806" s="60" t="s">
        <v>101</v>
      </c>
      <c r="B806" s="26" t="s">
        <v>45</v>
      </c>
      <c r="C806" s="26" t="s">
        <v>384</v>
      </c>
      <c r="D806" s="26" t="s">
        <v>379</v>
      </c>
      <c r="E806" s="27" t="s">
        <v>102</v>
      </c>
      <c r="F806" s="28"/>
      <c r="G806" s="10">
        <f>G807</f>
        <v>400</v>
      </c>
      <c r="H806" s="10">
        <f>H807</f>
        <v>400</v>
      </c>
      <c r="I806" s="10">
        <f>I807</f>
        <v>400</v>
      </c>
      <c r="J806" s="99">
        <f t="shared" si="107"/>
        <v>100</v>
      </c>
    </row>
    <row r="807" spans="1:10" ht="16.5" customHeight="1">
      <c r="A807" s="64" t="s">
        <v>232</v>
      </c>
      <c r="B807" s="26" t="s">
        <v>45</v>
      </c>
      <c r="C807" s="26" t="s">
        <v>384</v>
      </c>
      <c r="D807" s="26" t="s">
        <v>379</v>
      </c>
      <c r="E807" s="27" t="s">
        <v>102</v>
      </c>
      <c r="F807" s="28" t="s">
        <v>234</v>
      </c>
      <c r="G807" s="10">
        <v>400</v>
      </c>
      <c r="H807" s="10">
        <v>400</v>
      </c>
      <c r="I807" s="10">
        <v>400</v>
      </c>
      <c r="J807" s="99">
        <f t="shared" si="107"/>
        <v>100</v>
      </c>
    </row>
    <row r="808" spans="1:10" ht="16.5" customHeight="1">
      <c r="A808" s="8" t="s">
        <v>426</v>
      </c>
      <c r="B808" s="26" t="s">
        <v>45</v>
      </c>
      <c r="C808" s="26" t="s">
        <v>384</v>
      </c>
      <c r="D808" s="26" t="s">
        <v>379</v>
      </c>
      <c r="E808" s="26" t="s">
        <v>428</v>
      </c>
      <c r="F808" s="28"/>
      <c r="G808" s="10">
        <f aca="true" t="shared" si="109" ref="G808:I809">G809</f>
        <v>0</v>
      </c>
      <c r="H808" s="10">
        <f t="shared" si="109"/>
        <v>5231</v>
      </c>
      <c r="I808" s="10">
        <f t="shared" si="109"/>
        <v>5231</v>
      </c>
      <c r="J808" s="99">
        <f t="shared" si="107"/>
        <v>100</v>
      </c>
    </row>
    <row r="809" spans="1:10" ht="16.5" customHeight="1">
      <c r="A809" s="67" t="s">
        <v>469</v>
      </c>
      <c r="B809" s="26" t="s">
        <v>45</v>
      </c>
      <c r="C809" s="26" t="s">
        <v>384</v>
      </c>
      <c r="D809" s="26" t="s">
        <v>379</v>
      </c>
      <c r="E809" s="26" t="s">
        <v>311</v>
      </c>
      <c r="F809" s="28"/>
      <c r="G809" s="10">
        <f t="shared" si="109"/>
        <v>0</v>
      </c>
      <c r="H809" s="10">
        <f t="shared" si="109"/>
        <v>5231</v>
      </c>
      <c r="I809" s="10">
        <f t="shared" si="109"/>
        <v>5231</v>
      </c>
      <c r="J809" s="99">
        <f t="shared" si="107"/>
        <v>100</v>
      </c>
    </row>
    <row r="810" spans="1:10" ht="16.5" customHeight="1">
      <c r="A810" s="64" t="s">
        <v>232</v>
      </c>
      <c r="B810" s="26" t="s">
        <v>45</v>
      </c>
      <c r="C810" s="26" t="s">
        <v>384</v>
      </c>
      <c r="D810" s="26" t="s">
        <v>379</v>
      </c>
      <c r="E810" s="26" t="s">
        <v>312</v>
      </c>
      <c r="F810" s="28" t="s">
        <v>234</v>
      </c>
      <c r="G810" s="10">
        <v>0</v>
      </c>
      <c r="H810" s="10">
        <v>5231</v>
      </c>
      <c r="I810" s="10">
        <v>5231</v>
      </c>
      <c r="J810" s="99">
        <f t="shared" si="107"/>
        <v>100</v>
      </c>
    </row>
    <row r="811" spans="1:10" ht="16.5" customHeight="1">
      <c r="A811" s="31" t="s">
        <v>433</v>
      </c>
      <c r="B811" s="26" t="s">
        <v>45</v>
      </c>
      <c r="C811" s="26" t="s">
        <v>384</v>
      </c>
      <c r="D811" s="26" t="s">
        <v>379</v>
      </c>
      <c r="E811" s="27" t="s">
        <v>434</v>
      </c>
      <c r="F811" s="28"/>
      <c r="G811" s="10">
        <f aca="true" t="shared" si="110" ref="G811:I812">G812</f>
        <v>842981</v>
      </c>
      <c r="H811" s="10">
        <f t="shared" si="110"/>
        <v>842981</v>
      </c>
      <c r="I811" s="10">
        <f t="shared" si="110"/>
        <v>831167</v>
      </c>
      <c r="J811" s="99">
        <f t="shared" si="107"/>
        <v>98.59854492568635</v>
      </c>
    </row>
    <row r="812" spans="1:10" ht="16.5" customHeight="1">
      <c r="A812" s="8" t="s">
        <v>359</v>
      </c>
      <c r="B812" s="26" t="s">
        <v>45</v>
      </c>
      <c r="C812" s="26" t="s">
        <v>384</v>
      </c>
      <c r="D812" s="26" t="s">
        <v>379</v>
      </c>
      <c r="E812" s="27" t="s">
        <v>435</v>
      </c>
      <c r="F812" s="28"/>
      <c r="G812" s="10">
        <f t="shared" si="110"/>
        <v>842981</v>
      </c>
      <c r="H812" s="10">
        <f t="shared" si="110"/>
        <v>842981</v>
      </c>
      <c r="I812" s="10">
        <f t="shared" si="110"/>
        <v>831167</v>
      </c>
      <c r="J812" s="99">
        <f t="shared" si="107"/>
        <v>98.59854492568635</v>
      </c>
    </row>
    <row r="813" spans="1:10" ht="16.5" customHeight="1">
      <c r="A813" s="64" t="s">
        <v>232</v>
      </c>
      <c r="B813" s="26" t="s">
        <v>45</v>
      </c>
      <c r="C813" s="26" t="s">
        <v>384</v>
      </c>
      <c r="D813" s="26" t="s">
        <v>379</v>
      </c>
      <c r="E813" s="27" t="s">
        <v>435</v>
      </c>
      <c r="F813" s="28" t="s">
        <v>234</v>
      </c>
      <c r="G813" s="10">
        <f>942184-99484+281</f>
        <v>842981</v>
      </c>
      <c r="H813" s="10">
        <f>942184-99484+281</f>
        <v>842981</v>
      </c>
      <c r="I813" s="10">
        <v>831167</v>
      </c>
      <c r="J813" s="99">
        <f t="shared" si="107"/>
        <v>98.59854492568635</v>
      </c>
    </row>
    <row r="814" spans="1:10" ht="16.5" customHeight="1">
      <c r="A814" s="64" t="s">
        <v>646</v>
      </c>
      <c r="B814" s="26" t="s">
        <v>45</v>
      </c>
      <c r="C814" s="26" t="s">
        <v>384</v>
      </c>
      <c r="D814" s="26" t="s">
        <v>379</v>
      </c>
      <c r="E814" s="27" t="s">
        <v>650</v>
      </c>
      <c r="F814" s="28"/>
      <c r="G814" s="10">
        <f>G815+G817</f>
        <v>33350</v>
      </c>
      <c r="H814" s="10">
        <f>H815+H817</f>
        <v>33350</v>
      </c>
      <c r="I814" s="10">
        <f>I815+I817</f>
        <v>33336</v>
      </c>
      <c r="J814" s="99">
        <f t="shared" si="107"/>
        <v>99.95802098950524</v>
      </c>
    </row>
    <row r="815" spans="1:10" ht="66" customHeight="1">
      <c r="A815" s="64" t="s">
        <v>654</v>
      </c>
      <c r="B815" s="26" t="s">
        <v>45</v>
      </c>
      <c r="C815" s="26" t="s">
        <v>384</v>
      </c>
      <c r="D815" s="26" t="s">
        <v>379</v>
      </c>
      <c r="E815" s="27" t="s">
        <v>110</v>
      </c>
      <c r="F815" s="28"/>
      <c r="G815" s="10">
        <f>G816</f>
        <v>10002</v>
      </c>
      <c r="H815" s="10">
        <f>H816</f>
        <v>10002</v>
      </c>
      <c r="I815" s="10">
        <f>I816</f>
        <v>9988</v>
      </c>
      <c r="J815" s="99">
        <f t="shared" si="107"/>
        <v>99.86002799440112</v>
      </c>
    </row>
    <row r="816" spans="1:10" ht="16.5" customHeight="1">
      <c r="A816" s="64" t="s">
        <v>232</v>
      </c>
      <c r="B816" s="26" t="s">
        <v>45</v>
      </c>
      <c r="C816" s="26" t="s">
        <v>384</v>
      </c>
      <c r="D816" s="26" t="s">
        <v>379</v>
      </c>
      <c r="E816" s="27" t="s">
        <v>110</v>
      </c>
      <c r="F816" s="28" t="s">
        <v>234</v>
      </c>
      <c r="G816" s="10">
        <f>10000+2</f>
        <v>10002</v>
      </c>
      <c r="H816" s="10">
        <f>10000+2</f>
        <v>10002</v>
      </c>
      <c r="I816" s="10">
        <v>9988</v>
      </c>
      <c r="J816" s="99">
        <f t="shared" si="107"/>
        <v>99.86002799440112</v>
      </c>
    </row>
    <row r="817" spans="1:10" ht="32.25" customHeight="1">
      <c r="A817" s="64" t="s">
        <v>655</v>
      </c>
      <c r="B817" s="26" t="s">
        <v>45</v>
      </c>
      <c r="C817" s="26" t="s">
        <v>384</v>
      </c>
      <c r="D817" s="26" t="s">
        <v>379</v>
      </c>
      <c r="E817" s="27" t="s">
        <v>111</v>
      </c>
      <c r="F817" s="28"/>
      <c r="G817" s="10">
        <f>G818+G819</f>
        <v>23348</v>
      </c>
      <c r="H817" s="10">
        <f>H818+H819</f>
        <v>23348</v>
      </c>
      <c r="I817" s="10">
        <f>I818+I819</f>
        <v>23348</v>
      </c>
      <c r="J817" s="99">
        <f t="shared" si="107"/>
        <v>100</v>
      </c>
    </row>
    <row r="818" spans="1:10" ht="16.5" customHeight="1">
      <c r="A818" s="64" t="s">
        <v>232</v>
      </c>
      <c r="B818" s="26" t="s">
        <v>45</v>
      </c>
      <c r="C818" s="26" t="s">
        <v>384</v>
      </c>
      <c r="D818" s="26" t="s">
        <v>379</v>
      </c>
      <c r="E818" s="27" t="s">
        <v>111</v>
      </c>
      <c r="F818" s="28" t="s">
        <v>234</v>
      </c>
      <c r="G818" s="10">
        <f>33121-10825</f>
        <v>22296</v>
      </c>
      <c r="H818" s="10">
        <f>33121-10825</f>
        <v>22296</v>
      </c>
      <c r="I818" s="10">
        <f>33121-10825</f>
        <v>22296</v>
      </c>
      <c r="J818" s="99">
        <f t="shared" si="107"/>
        <v>100</v>
      </c>
    </row>
    <row r="819" spans="1:10" ht="16.5" customHeight="1">
      <c r="A819" s="64" t="s">
        <v>11</v>
      </c>
      <c r="B819" s="26" t="s">
        <v>45</v>
      </c>
      <c r="C819" s="26" t="s">
        <v>384</v>
      </c>
      <c r="D819" s="26" t="s">
        <v>379</v>
      </c>
      <c r="E819" s="27" t="s">
        <v>111</v>
      </c>
      <c r="F819" s="28" t="s">
        <v>12</v>
      </c>
      <c r="G819" s="10">
        <f>3420-2368</f>
        <v>1052</v>
      </c>
      <c r="H819" s="10">
        <f>3420-2368</f>
        <v>1052</v>
      </c>
      <c r="I819" s="10">
        <f>3420-2368</f>
        <v>1052</v>
      </c>
      <c r="J819" s="99">
        <f t="shared" si="107"/>
        <v>100</v>
      </c>
    </row>
    <row r="820" spans="1:10" ht="16.5" customHeight="1">
      <c r="A820" s="64" t="s">
        <v>219</v>
      </c>
      <c r="B820" s="26" t="s">
        <v>45</v>
      </c>
      <c r="C820" s="26" t="s">
        <v>384</v>
      </c>
      <c r="D820" s="26" t="s">
        <v>379</v>
      </c>
      <c r="E820" s="27" t="s">
        <v>548</v>
      </c>
      <c r="F820" s="28"/>
      <c r="G820" s="9">
        <f aca="true" t="shared" si="111" ref="G820:I822">G821</f>
        <v>354</v>
      </c>
      <c r="H820" s="9">
        <f t="shared" si="111"/>
        <v>354</v>
      </c>
      <c r="I820" s="9">
        <f t="shared" si="111"/>
        <v>354</v>
      </c>
      <c r="J820" s="99">
        <f t="shared" si="107"/>
        <v>100</v>
      </c>
    </row>
    <row r="821" spans="1:10" ht="49.5" customHeight="1">
      <c r="A821" s="64" t="s">
        <v>640</v>
      </c>
      <c r="B821" s="26" t="s">
        <v>45</v>
      </c>
      <c r="C821" s="26" t="s">
        <v>384</v>
      </c>
      <c r="D821" s="26" t="s">
        <v>379</v>
      </c>
      <c r="E821" s="27" t="s">
        <v>642</v>
      </c>
      <c r="F821" s="28"/>
      <c r="G821" s="9">
        <f t="shared" si="111"/>
        <v>354</v>
      </c>
      <c r="H821" s="9">
        <f t="shared" si="111"/>
        <v>354</v>
      </c>
      <c r="I821" s="9">
        <f t="shared" si="111"/>
        <v>354</v>
      </c>
      <c r="J821" s="99">
        <f t="shared" si="107"/>
        <v>100</v>
      </c>
    </row>
    <row r="822" spans="1:10" ht="79.5" customHeight="1">
      <c r="A822" s="64" t="s">
        <v>143</v>
      </c>
      <c r="B822" s="26" t="s">
        <v>45</v>
      </c>
      <c r="C822" s="26" t="s">
        <v>384</v>
      </c>
      <c r="D822" s="26" t="s">
        <v>379</v>
      </c>
      <c r="E822" s="27" t="s">
        <v>138</v>
      </c>
      <c r="F822" s="28"/>
      <c r="G822" s="9">
        <f t="shared" si="111"/>
        <v>354</v>
      </c>
      <c r="H822" s="9">
        <f t="shared" si="111"/>
        <v>354</v>
      </c>
      <c r="I822" s="9">
        <f t="shared" si="111"/>
        <v>354</v>
      </c>
      <c r="J822" s="99">
        <f t="shared" si="107"/>
        <v>100</v>
      </c>
    </row>
    <row r="823" spans="1:10" ht="16.5" customHeight="1">
      <c r="A823" s="64" t="s">
        <v>232</v>
      </c>
      <c r="B823" s="26" t="s">
        <v>45</v>
      </c>
      <c r="C823" s="26" t="s">
        <v>384</v>
      </c>
      <c r="D823" s="26" t="s">
        <v>379</v>
      </c>
      <c r="E823" s="27" t="s">
        <v>138</v>
      </c>
      <c r="F823" s="28" t="s">
        <v>234</v>
      </c>
      <c r="G823" s="9">
        <f>95+19+158+82</f>
        <v>354</v>
      </c>
      <c r="H823" s="9">
        <f>95+19+158+82</f>
        <v>354</v>
      </c>
      <c r="I823" s="9">
        <f>95+19+158+82</f>
        <v>354</v>
      </c>
      <c r="J823" s="99">
        <f t="shared" si="107"/>
        <v>100</v>
      </c>
    </row>
    <row r="824" spans="1:10" ht="12" customHeight="1">
      <c r="A824" s="64"/>
      <c r="B824" s="26"/>
      <c r="C824" s="26"/>
      <c r="D824" s="26"/>
      <c r="E824" s="27"/>
      <c r="F824" s="28"/>
      <c r="G824" s="10"/>
      <c r="H824" s="10"/>
      <c r="I824" s="10"/>
      <c r="J824" s="99"/>
    </row>
    <row r="825" spans="1:10" ht="16.5" customHeight="1">
      <c r="A825" s="31" t="s">
        <v>436</v>
      </c>
      <c r="B825" s="26" t="s">
        <v>45</v>
      </c>
      <c r="C825" s="26" t="s">
        <v>384</v>
      </c>
      <c r="D825" s="26" t="s">
        <v>380</v>
      </c>
      <c r="E825" s="34"/>
      <c r="F825" s="35"/>
      <c r="G825" s="10">
        <f>G830+G833+G836+G847+G826</f>
        <v>1034014</v>
      </c>
      <c r="H825" s="10">
        <f>H830+H833+H836+H847+H826</f>
        <v>1040624</v>
      </c>
      <c r="I825" s="10">
        <f>I830+I833+I836+I847+I826</f>
        <v>1025107</v>
      </c>
      <c r="J825" s="99">
        <f t="shared" si="107"/>
        <v>98.5088754439644</v>
      </c>
    </row>
    <row r="826" spans="1:10" ht="16.5" customHeight="1">
      <c r="A826" s="31" t="s">
        <v>371</v>
      </c>
      <c r="B826" s="26" t="s">
        <v>45</v>
      </c>
      <c r="C826" s="26" t="s">
        <v>384</v>
      </c>
      <c r="D826" s="26" t="s">
        <v>380</v>
      </c>
      <c r="E826" s="26" t="s">
        <v>427</v>
      </c>
      <c r="F826" s="28"/>
      <c r="G826" s="10">
        <f aca="true" t="shared" si="112" ref="G826:I828">G827</f>
        <v>0</v>
      </c>
      <c r="H826" s="10">
        <f t="shared" si="112"/>
        <v>6610</v>
      </c>
      <c r="I826" s="10">
        <f t="shared" si="112"/>
        <v>6608</v>
      </c>
      <c r="J826" s="99">
        <f t="shared" si="107"/>
        <v>99.9697428139183</v>
      </c>
    </row>
    <row r="827" spans="1:10" ht="16.5" customHeight="1">
      <c r="A827" s="8" t="s">
        <v>426</v>
      </c>
      <c r="B827" s="26" t="s">
        <v>45</v>
      </c>
      <c r="C827" s="26" t="s">
        <v>384</v>
      </c>
      <c r="D827" s="26" t="s">
        <v>380</v>
      </c>
      <c r="E827" s="26" t="s">
        <v>428</v>
      </c>
      <c r="F827" s="28"/>
      <c r="G827" s="10">
        <f t="shared" si="112"/>
        <v>0</v>
      </c>
      <c r="H827" s="10">
        <f t="shared" si="112"/>
        <v>6610</v>
      </c>
      <c r="I827" s="10">
        <f t="shared" si="112"/>
        <v>6608</v>
      </c>
      <c r="J827" s="99">
        <f t="shared" si="107"/>
        <v>99.9697428139183</v>
      </c>
    </row>
    <row r="828" spans="1:10" ht="16.5" customHeight="1">
      <c r="A828" s="67" t="s">
        <v>469</v>
      </c>
      <c r="B828" s="26" t="s">
        <v>45</v>
      </c>
      <c r="C828" s="26" t="s">
        <v>384</v>
      </c>
      <c r="D828" s="26" t="s">
        <v>380</v>
      </c>
      <c r="E828" s="26" t="s">
        <v>311</v>
      </c>
      <c r="F828" s="28"/>
      <c r="G828" s="10">
        <f t="shared" si="112"/>
        <v>0</v>
      </c>
      <c r="H828" s="10">
        <f t="shared" si="112"/>
        <v>6610</v>
      </c>
      <c r="I828" s="10">
        <f t="shared" si="112"/>
        <v>6608</v>
      </c>
      <c r="J828" s="99">
        <f t="shared" si="107"/>
        <v>99.9697428139183</v>
      </c>
    </row>
    <row r="829" spans="1:10" ht="16.5" customHeight="1">
      <c r="A829" s="64" t="s">
        <v>232</v>
      </c>
      <c r="B829" s="26" t="s">
        <v>45</v>
      </c>
      <c r="C829" s="26" t="s">
        <v>384</v>
      </c>
      <c r="D829" s="26" t="s">
        <v>380</v>
      </c>
      <c r="E829" s="26" t="s">
        <v>312</v>
      </c>
      <c r="F829" s="28" t="s">
        <v>234</v>
      </c>
      <c r="G829" s="10">
        <v>0</v>
      </c>
      <c r="H829" s="10">
        <v>6610</v>
      </c>
      <c r="I829" s="10">
        <v>6608</v>
      </c>
      <c r="J829" s="99">
        <f t="shared" si="107"/>
        <v>99.9697428139183</v>
      </c>
    </row>
    <row r="830" spans="1:10" ht="32.25" customHeight="1">
      <c r="A830" s="31" t="s">
        <v>397</v>
      </c>
      <c r="B830" s="26" t="s">
        <v>45</v>
      </c>
      <c r="C830" s="26" t="s">
        <v>384</v>
      </c>
      <c r="D830" s="26" t="s">
        <v>380</v>
      </c>
      <c r="E830" s="27" t="s">
        <v>437</v>
      </c>
      <c r="F830" s="35"/>
      <c r="G830" s="10">
        <f aca="true" t="shared" si="113" ref="G830:I831">G831</f>
        <v>203428</v>
      </c>
      <c r="H830" s="10">
        <f t="shared" si="113"/>
        <v>203428</v>
      </c>
      <c r="I830" s="10">
        <f t="shared" si="113"/>
        <v>194180</v>
      </c>
      <c r="J830" s="99">
        <f t="shared" si="107"/>
        <v>95.4539198143815</v>
      </c>
    </row>
    <row r="831" spans="1:10" ht="16.5" customHeight="1">
      <c r="A831" s="8" t="s">
        <v>359</v>
      </c>
      <c r="B831" s="26" t="s">
        <v>45</v>
      </c>
      <c r="C831" s="26" t="s">
        <v>384</v>
      </c>
      <c r="D831" s="26" t="s">
        <v>380</v>
      </c>
      <c r="E831" s="27" t="s">
        <v>438</v>
      </c>
      <c r="F831" s="28"/>
      <c r="G831" s="10">
        <f t="shared" si="113"/>
        <v>203428</v>
      </c>
      <c r="H831" s="10">
        <f t="shared" si="113"/>
        <v>203428</v>
      </c>
      <c r="I831" s="10">
        <f t="shared" si="113"/>
        <v>194180</v>
      </c>
      <c r="J831" s="99">
        <f t="shared" si="107"/>
        <v>95.4539198143815</v>
      </c>
    </row>
    <row r="832" spans="1:10" ht="16.5" customHeight="1">
      <c r="A832" s="64" t="s">
        <v>232</v>
      </c>
      <c r="B832" s="26" t="s">
        <v>45</v>
      </c>
      <c r="C832" s="26" t="s">
        <v>384</v>
      </c>
      <c r="D832" s="26" t="s">
        <v>380</v>
      </c>
      <c r="E832" s="27" t="s">
        <v>438</v>
      </c>
      <c r="F832" s="28" t="s">
        <v>234</v>
      </c>
      <c r="G832" s="10">
        <f>215955-12820+280+13</f>
        <v>203428</v>
      </c>
      <c r="H832" s="10">
        <f>215955-12820+280+13</f>
        <v>203428</v>
      </c>
      <c r="I832" s="10">
        <v>194180</v>
      </c>
      <c r="J832" s="99">
        <f t="shared" si="107"/>
        <v>95.4539198143815</v>
      </c>
    </row>
    <row r="833" spans="1:10" ht="16.5" customHeight="1">
      <c r="A833" s="31" t="s">
        <v>412</v>
      </c>
      <c r="B833" s="26" t="s">
        <v>45</v>
      </c>
      <c r="C833" s="26" t="s">
        <v>384</v>
      </c>
      <c r="D833" s="26" t="s">
        <v>380</v>
      </c>
      <c r="E833" s="27" t="s">
        <v>439</v>
      </c>
      <c r="F833" s="28"/>
      <c r="G833" s="10">
        <f aca="true" t="shared" si="114" ref="G833:I834">G834</f>
        <v>49054</v>
      </c>
      <c r="H833" s="10">
        <f t="shared" si="114"/>
        <v>49054</v>
      </c>
      <c r="I833" s="10">
        <f t="shared" si="114"/>
        <v>48913</v>
      </c>
      <c r="J833" s="99">
        <f t="shared" si="107"/>
        <v>99.71256166673463</v>
      </c>
    </row>
    <row r="834" spans="1:10" ht="16.5" customHeight="1">
      <c r="A834" s="8" t="s">
        <v>359</v>
      </c>
      <c r="B834" s="26" t="s">
        <v>45</v>
      </c>
      <c r="C834" s="26" t="s">
        <v>384</v>
      </c>
      <c r="D834" s="26" t="s">
        <v>380</v>
      </c>
      <c r="E834" s="27" t="s">
        <v>440</v>
      </c>
      <c r="F834" s="28"/>
      <c r="G834" s="10">
        <f t="shared" si="114"/>
        <v>49054</v>
      </c>
      <c r="H834" s="10">
        <f t="shared" si="114"/>
        <v>49054</v>
      </c>
      <c r="I834" s="10">
        <f t="shared" si="114"/>
        <v>48913</v>
      </c>
      <c r="J834" s="99">
        <f t="shared" si="107"/>
        <v>99.71256166673463</v>
      </c>
    </row>
    <row r="835" spans="1:10" ht="16.5" customHeight="1">
      <c r="A835" s="64" t="s">
        <v>232</v>
      </c>
      <c r="B835" s="26" t="s">
        <v>45</v>
      </c>
      <c r="C835" s="26" t="s">
        <v>384</v>
      </c>
      <c r="D835" s="26" t="s">
        <v>380</v>
      </c>
      <c r="E835" s="27" t="s">
        <v>440</v>
      </c>
      <c r="F835" s="28" t="s">
        <v>234</v>
      </c>
      <c r="G835" s="10">
        <f>54045-4991</f>
        <v>49054</v>
      </c>
      <c r="H835" s="10">
        <f>54045-4991</f>
        <v>49054</v>
      </c>
      <c r="I835" s="10">
        <v>48913</v>
      </c>
      <c r="J835" s="99">
        <f t="shared" si="107"/>
        <v>99.71256166673463</v>
      </c>
    </row>
    <row r="836" spans="1:10" ht="16.5" customHeight="1">
      <c r="A836" s="64" t="s">
        <v>646</v>
      </c>
      <c r="B836" s="26" t="s">
        <v>45</v>
      </c>
      <c r="C836" s="26" t="s">
        <v>384</v>
      </c>
      <c r="D836" s="26" t="s">
        <v>380</v>
      </c>
      <c r="E836" s="27" t="s">
        <v>650</v>
      </c>
      <c r="F836" s="28"/>
      <c r="G836" s="10">
        <f>G837+G842+G844</f>
        <v>772724</v>
      </c>
      <c r="H836" s="10">
        <f>H837+H842+H844</f>
        <v>772724</v>
      </c>
      <c r="I836" s="10">
        <f>I837+I842+I844</f>
        <v>769002</v>
      </c>
      <c r="J836" s="99">
        <f t="shared" si="107"/>
        <v>99.51832737173946</v>
      </c>
    </row>
    <row r="837" spans="1:10" ht="16.5" customHeight="1">
      <c r="A837" s="64" t="s">
        <v>647</v>
      </c>
      <c r="B837" s="26" t="s">
        <v>45</v>
      </c>
      <c r="C837" s="26" t="s">
        <v>384</v>
      </c>
      <c r="D837" s="26" t="s">
        <v>380</v>
      </c>
      <c r="E837" s="27" t="s">
        <v>651</v>
      </c>
      <c r="F837" s="28"/>
      <c r="G837" s="10">
        <f>G838+G840</f>
        <v>32263</v>
      </c>
      <c r="H837" s="10">
        <f>H838+H840</f>
        <v>32263</v>
      </c>
      <c r="I837" s="10">
        <f>I838+I840</f>
        <v>30559</v>
      </c>
      <c r="J837" s="99">
        <f t="shared" si="107"/>
        <v>94.7184080835632</v>
      </c>
    </row>
    <row r="838" spans="1:10" ht="33" customHeight="1" hidden="1">
      <c r="A838" s="64" t="s">
        <v>648</v>
      </c>
      <c r="B838" s="26" t="s">
        <v>45</v>
      </c>
      <c r="C838" s="26" t="s">
        <v>384</v>
      </c>
      <c r="D838" s="26" t="s">
        <v>380</v>
      </c>
      <c r="E838" s="27" t="s">
        <v>652</v>
      </c>
      <c r="F838" s="28"/>
      <c r="G838" s="10">
        <f>G839</f>
        <v>0</v>
      </c>
      <c r="H838" s="10">
        <f>H839</f>
        <v>0</v>
      </c>
      <c r="I838" s="10">
        <f>I839</f>
        <v>0</v>
      </c>
      <c r="J838" s="99" t="e">
        <f t="shared" si="107"/>
        <v>#DIV/0!</v>
      </c>
    </row>
    <row r="839" spans="1:10" ht="18" customHeight="1" hidden="1">
      <c r="A839" s="64" t="s">
        <v>232</v>
      </c>
      <c r="B839" s="26" t="s">
        <v>45</v>
      </c>
      <c r="C839" s="26" t="s">
        <v>384</v>
      </c>
      <c r="D839" s="26" t="s">
        <v>380</v>
      </c>
      <c r="E839" s="27" t="s">
        <v>652</v>
      </c>
      <c r="F839" s="28" t="s">
        <v>234</v>
      </c>
      <c r="G839" s="10">
        <f>9447+1325-1325-9447</f>
        <v>0</v>
      </c>
      <c r="H839" s="10">
        <f>9447+1325-1325-9447</f>
        <v>0</v>
      </c>
      <c r="I839" s="10">
        <f>9447+1325-1325-9447</f>
        <v>0</v>
      </c>
      <c r="J839" s="99" t="e">
        <f t="shared" si="107"/>
        <v>#DIV/0!</v>
      </c>
    </row>
    <row r="840" spans="1:10" ht="32.25" customHeight="1">
      <c r="A840" s="64" t="s">
        <v>649</v>
      </c>
      <c r="B840" s="26" t="s">
        <v>45</v>
      </c>
      <c r="C840" s="26" t="s">
        <v>384</v>
      </c>
      <c r="D840" s="26" t="s">
        <v>380</v>
      </c>
      <c r="E840" s="27" t="s">
        <v>653</v>
      </c>
      <c r="F840" s="28"/>
      <c r="G840" s="10">
        <f>G841</f>
        <v>32263</v>
      </c>
      <c r="H840" s="10">
        <f>H841</f>
        <v>32263</v>
      </c>
      <c r="I840" s="10">
        <f>I841</f>
        <v>30559</v>
      </c>
      <c r="J840" s="99">
        <f t="shared" si="107"/>
        <v>94.7184080835632</v>
      </c>
    </row>
    <row r="841" spans="1:10" ht="16.5" customHeight="1">
      <c r="A841" s="64" t="s">
        <v>232</v>
      </c>
      <c r="B841" s="26" t="s">
        <v>45</v>
      </c>
      <c r="C841" s="26" t="s">
        <v>384</v>
      </c>
      <c r="D841" s="26" t="s">
        <v>380</v>
      </c>
      <c r="E841" s="27" t="s">
        <v>653</v>
      </c>
      <c r="F841" s="28" t="s">
        <v>234</v>
      </c>
      <c r="G841" s="10">
        <f>24458+7805</f>
        <v>32263</v>
      </c>
      <c r="H841" s="10">
        <f>24458+7805</f>
        <v>32263</v>
      </c>
      <c r="I841" s="10">
        <v>30559</v>
      </c>
      <c r="J841" s="99">
        <f t="shared" si="107"/>
        <v>94.7184080835632</v>
      </c>
    </row>
    <row r="842" spans="1:10" ht="66" customHeight="1">
      <c r="A842" s="64" t="s">
        <v>654</v>
      </c>
      <c r="B842" s="26" t="s">
        <v>45</v>
      </c>
      <c r="C842" s="26" t="s">
        <v>384</v>
      </c>
      <c r="D842" s="26" t="s">
        <v>380</v>
      </c>
      <c r="E842" s="27" t="s">
        <v>110</v>
      </c>
      <c r="F842" s="28"/>
      <c r="G842" s="10">
        <f>G843</f>
        <v>32663</v>
      </c>
      <c r="H842" s="10">
        <f>H843</f>
        <v>32663</v>
      </c>
      <c r="I842" s="10">
        <f>I843</f>
        <v>30646</v>
      </c>
      <c r="J842" s="99">
        <f t="shared" si="107"/>
        <v>93.82481707130393</v>
      </c>
    </row>
    <row r="843" spans="1:10" ht="16.5" customHeight="1">
      <c r="A843" s="64" t="s">
        <v>232</v>
      </c>
      <c r="B843" s="26" t="s">
        <v>45</v>
      </c>
      <c r="C843" s="26" t="s">
        <v>384</v>
      </c>
      <c r="D843" s="26" t="s">
        <v>380</v>
      </c>
      <c r="E843" s="27" t="s">
        <v>110</v>
      </c>
      <c r="F843" s="28" t="s">
        <v>234</v>
      </c>
      <c r="G843" s="10">
        <f>40321+4691-12349</f>
        <v>32663</v>
      </c>
      <c r="H843" s="10">
        <f>40321+4691-12349</f>
        <v>32663</v>
      </c>
      <c r="I843" s="10">
        <v>30646</v>
      </c>
      <c r="J843" s="99">
        <f t="shared" si="107"/>
        <v>93.82481707130393</v>
      </c>
    </row>
    <row r="844" spans="1:10" ht="32.25" customHeight="1">
      <c r="A844" s="64" t="s">
        <v>655</v>
      </c>
      <c r="B844" s="26" t="s">
        <v>45</v>
      </c>
      <c r="C844" s="26" t="s">
        <v>384</v>
      </c>
      <c r="D844" s="26" t="s">
        <v>380</v>
      </c>
      <c r="E844" s="27" t="s">
        <v>111</v>
      </c>
      <c r="F844" s="28"/>
      <c r="G844" s="10">
        <f>G845+G846</f>
        <v>707798</v>
      </c>
      <c r="H844" s="10">
        <f>H845+H846</f>
        <v>707798</v>
      </c>
      <c r="I844" s="10">
        <f>I845+I846</f>
        <v>707797</v>
      </c>
      <c r="J844" s="99">
        <f t="shared" si="107"/>
        <v>99.99985871675253</v>
      </c>
    </row>
    <row r="845" spans="1:10" ht="16.5" customHeight="1">
      <c r="A845" s="64" t="s">
        <v>232</v>
      </c>
      <c r="B845" s="26" t="s">
        <v>45</v>
      </c>
      <c r="C845" s="26" t="s">
        <v>384</v>
      </c>
      <c r="D845" s="26" t="s">
        <v>380</v>
      </c>
      <c r="E845" s="27" t="s">
        <v>111</v>
      </c>
      <c r="F845" s="28" t="s">
        <v>234</v>
      </c>
      <c r="G845" s="10">
        <f>1018502+14-321810+9023</f>
        <v>705729</v>
      </c>
      <c r="H845" s="10">
        <f>1018502+14-321810+9023</f>
        <v>705729</v>
      </c>
      <c r="I845" s="10">
        <v>705728</v>
      </c>
      <c r="J845" s="99">
        <f aca="true" t="shared" si="115" ref="J845:J908">I845/H845*100</f>
        <v>99.99985830254955</v>
      </c>
    </row>
    <row r="846" spans="1:10" ht="16.5" customHeight="1">
      <c r="A846" s="64" t="s">
        <v>11</v>
      </c>
      <c r="B846" s="26" t="s">
        <v>45</v>
      </c>
      <c r="C846" s="26" t="s">
        <v>384</v>
      </c>
      <c r="D846" s="26" t="s">
        <v>380</v>
      </c>
      <c r="E846" s="27" t="s">
        <v>111</v>
      </c>
      <c r="F846" s="28" t="s">
        <v>12</v>
      </c>
      <c r="G846" s="10">
        <f>9183-7114</f>
        <v>2069</v>
      </c>
      <c r="H846" s="10">
        <f>9183-7114</f>
        <v>2069</v>
      </c>
      <c r="I846" s="10">
        <f>9183-7114</f>
        <v>2069</v>
      </c>
      <c r="J846" s="99">
        <f t="shared" si="115"/>
        <v>100</v>
      </c>
    </row>
    <row r="847" spans="1:10" ht="16.5" customHeight="1">
      <c r="A847" s="64" t="s">
        <v>219</v>
      </c>
      <c r="B847" s="26" t="s">
        <v>45</v>
      </c>
      <c r="C847" s="26" t="s">
        <v>384</v>
      </c>
      <c r="D847" s="26" t="s">
        <v>380</v>
      </c>
      <c r="E847" s="27" t="s">
        <v>548</v>
      </c>
      <c r="F847" s="28"/>
      <c r="G847" s="10">
        <f>G851+G848</f>
        <v>8808</v>
      </c>
      <c r="H847" s="10">
        <f>H851+H848</f>
        <v>8808</v>
      </c>
      <c r="I847" s="10">
        <f>I851+I848</f>
        <v>6404</v>
      </c>
      <c r="J847" s="99">
        <f t="shared" si="115"/>
        <v>72.70663033605813</v>
      </c>
    </row>
    <row r="848" spans="1:10" ht="49.5" customHeight="1">
      <c r="A848" s="64" t="s">
        <v>640</v>
      </c>
      <c r="B848" s="26" t="s">
        <v>45</v>
      </c>
      <c r="C848" s="26" t="s">
        <v>384</v>
      </c>
      <c r="D848" s="26" t="s">
        <v>380</v>
      </c>
      <c r="E848" s="27" t="s">
        <v>642</v>
      </c>
      <c r="F848" s="28"/>
      <c r="G848" s="9">
        <f aca="true" t="shared" si="116" ref="G848:I849">G849</f>
        <v>1762</v>
      </c>
      <c r="H848" s="9">
        <f t="shared" si="116"/>
        <v>1762</v>
      </c>
      <c r="I848" s="9">
        <f t="shared" si="116"/>
        <v>1762</v>
      </c>
      <c r="J848" s="99">
        <f t="shared" si="115"/>
        <v>100</v>
      </c>
    </row>
    <row r="849" spans="1:10" ht="79.5" customHeight="1">
      <c r="A849" s="64" t="s">
        <v>143</v>
      </c>
      <c r="B849" s="26" t="s">
        <v>45</v>
      </c>
      <c r="C849" s="26" t="s">
        <v>384</v>
      </c>
      <c r="D849" s="26" t="s">
        <v>380</v>
      </c>
      <c r="E849" s="27" t="s">
        <v>138</v>
      </c>
      <c r="F849" s="28"/>
      <c r="G849" s="9">
        <f t="shared" si="116"/>
        <v>1762</v>
      </c>
      <c r="H849" s="9">
        <f t="shared" si="116"/>
        <v>1762</v>
      </c>
      <c r="I849" s="9">
        <f t="shared" si="116"/>
        <v>1762</v>
      </c>
      <c r="J849" s="99">
        <f t="shared" si="115"/>
        <v>100</v>
      </c>
    </row>
    <row r="850" spans="1:10" ht="16.5" customHeight="1">
      <c r="A850" s="64" t="s">
        <v>232</v>
      </c>
      <c r="B850" s="26" t="s">
        <v>45</v>
      </c>
      <c r="C850" s="26" t="s">
        <v>384</v>
      </c>
      <c r="D850" s="26" t="s">
        <v>380</v>
      </c>
      <c r="E850" s="27" t="s">
        <v>138</v>
      </c>
      <c r="F850" s="28" t="s">
        <v>234</v>
      </c>
      <c r="G850" s="9">
        <f>341+194+687+540</f>
        <v>1762</v>
      </c>
      <c r="H850" s="9">
        <f>341+194+687+540</f>
        <v>1762</v>
      </c>
      <c r="I850" s="9">
        <f>341+194+687+540</f>
        <v>1762</v>
      </c>
      <c r="J850" s="99">
        <f t="shared" si="115"/>
        <v>100</v>
      </c>
    </row>
    <row r="851" spans="1:10" ht="66" customHeight="1">
      <c r="A851" s="64" t="s">
        <v>549</v>
      </c>
      <c r="B851" s="26" t="s">
        <v>45</v>
      </c>
      <c r="C851" s="26" t="s">
        <v>384</v>
      </c>
      <c r="D851" s="26" t="s">
        <v>380</v>
      </c>
      <c r="E851" s="27" t="s">
        <v>550</v>
      </c>
      <c r="F851" s="28"/>
      <c r="G851" s="10">
        <f aca="true" t="shared" si="117" ref="G851:I852">G852</f>
        <v>7046</v>
      </c>
      <c r="H851" s="10">
        <f t="shared" si="117"/>
        <v>7046</v>
      </c>
      <c r="I851" s="10">
        <f t="shared" si="117"/>
        <v>4642</v>
      </c>
      <c r="J851" s="99">
        <f t="shared" si="115"/>
        <v>65.88135112120352</v>
      </c>
    </row>
    <row r="852" spans="1:10" ht="66" customHeight="1">
      <c r="A852" s="64" t="s">
        <v>658</v>
      </c>
      <c r="B852" s="26" t="s">
        <v>45</v>
      </c>
      <c r="C852" s="26" t="s">
        <v>384</v>
      </c>
      <c r="D852" s="26" t="s">
        <v>380</v>
      </c>
      <c r="E852" s="27" t="s">
        <v>660</v>
      </c>
      <c r="F852" s="28"/>
      <c r="G852" s="10">
        <f t="shared" si="117"/>
        <v>7046</v>
      </c>
      <c r="H852" s="10">
        <f t="shared" si="117"/>
        <v>7046</v>
      </c>
      <c r="I852" s="10">
        <f t="shared" si="117"/>
        <v>4642</v>
      </c>
      <c r="J852" s="99">
        <f t="shared" si="115"/>
        <v>65.88135112120352</v>
      </c>
    </row>
    <row r="853" spans="1:10" ht="16.5" customHeight="1">
      <c r="A853" s="64" t="s">
        <v>232</v>
      </c>
      <c r="B853" s="26" t="s">
        <v>45</v>
      </c>
      <c r="C853" s="26" t="s">
        <v>384</v>
      </c>
      <c r="D853" s="26" t="s">
        <v>380</v>
      </c>
      <c r="E853" s="27" t="s">
        <v>660</v>
      </c>
      <c r="F853" s="28" t="s">
        <v>234</v>
      </c>
      <c r="G853" s="10">
        <f>10205-3159</f>
        <v>7046</v>
      </c>
      <c r="H853" s="10">
        <f>10205-3159</f>
        <v>7046</v>
      </c>
      <c r="I853" s="10">
        <v>4642</v>
      </c>
      <c r="J853" s="99">
        <f t="shared" si="115"/>
        <v>65.88135112120352</v>
      </c>
    </row>
    <row r="854" spans="1:10" ht="12" customHeight="1">
      <c r="A854" s="64"/>
      <c r="B854" s="26"/>
      <c r="C854" s="26"/>
      <c r="D854" s="26"/>
      <c r="E854" s="27"/>
      <c r="F854" s="28"/>
      <c r="G854" s="10"/>
      <c r="H854" s="10"/>
      <c r="I854" s="10"/>
      <c r="J854" s="99"/>
    </row>
    <row r="855" spans="1:10" ht="16.5" customHeight="1">
      <c r="A855" s="31" t="s">
        <v>489</v>
      </c>
      <c r="B855" s="26" t="s">
        <v>45</v>
      </c>
      <c r="C855" s="26" t="s">
        <v>384</v>
      </c>
      <c r="D855" s="26" t="s">
        <v>384</v>
      </c>
      <c r="E855" s="27"/>
      <c r="F855" s="28"/>
      <c r="G855" s="10">
        <f aca="true" t="shared" si="118" ref="G855:I858">G856</f>
        <v>4382</v>
      </c>
      <c r="H855" s="10">
        <f t="shared" si="118"/>
        <v>4382</v>
      </c>
      <c r="I855" s="10">
        <f t="shared" si="118"/>
        <v>4382</v>
      </c>
      <c r="J855" s="99">
        <f t="shared" si="115"/>
        <v>100</v>
      </c>
    </row>
    <row r="856" spans="1:10" ht="16.5" customHeight="1">
      <c r="A856" s="23" t="s">
        <v>199</v>
      </c>
      <c r="B856" s="26" t="s">
        <v>45</v>
      </c>
      <c r="C856" s="20" t="s">
        <v>384</v>
      </c>
      <c r="D856" s="20" t="s">
        <v>384</v>
      </c>
      <c r="E856" s="27" t="s">
        <v>417</v>
      </c>
      <c r="F856" s="28"/>
      <c r="G856" s="10">
        <f t="shared" si="118"/>
        <v>4382</v>
      </c>
      <c r="H856" s="10">
        <f t="shared" si="118"/>
        <v>4382</v>
      </c>
      <c r="I856" s="10">
        <f t="shared" si="118"/>
        <v>4382</v>
      </c>
      <c r="J856" s="99">
        <f t="shared" si="115"/>
        <v>100</v>
      </c>
    </row>
    <row r="857" spans="1:10" ht="32.25" customHeight="1">
      <c r="A857" s="64" t="s">
        <v>517</v>
      </c>
      <c r="B857" s="26" t="s">
        <v>45</v>
      </c>
      <c r="C857" s="20" t="s">
        <v>384</v>
      </c>
      <c r="D857" s="20" t="s">
        <v>384</v>
      </c>
      <c r="E857" s="55" t="s">
        <v>447</v>
      </c>
      <c r="F857" s="28"/>
      <c r="G857" s="10">
        <f t="shared" si="118"/>
        <v>4382</v>
      </c>
      <c r="H857" s="10">
        <f t="shared" si="118"/>
        <v>4382</v>
      </c>
      <c r="I857" s="10">
        <f t="shared" si="118"/>
        <v>4382</v>
      </c>
      <c r="J857" s="99">
        <f t="shared" si="115"/>
        <v>100</v>
      </c>
    </row>
    <row r="858" spans="1:10" ht="32.25" customHeight="1">
      <c r="A858" s="31" t="s">
        <v>61</v>
      </c>
      <c r="B858" s="26" t="s">
        <v>45</v>
      </c>
      <c r="C858" s="20" t="s">
        <v>384</v>
      </c>
      <c r="D858" s="20" t="s">
        <v>384</v>
      </c>
      <c r="E858" s="55" t="s">
        <v>467</v>
      </c>
      <c r="F858" s="28"/>
      <c r="G858" s="10">
        <f t="shared" si="118"/>
        <v>4382</v>
      </c>
      <c r="H858" s="10">
        <f t="shared" si="118"/>
        <v>4382</v>
      </c>
      <c r="I858" s="10">
        <f t="shared" si="118"/>
        <v>4382</v>
      </c>
      <c r="J858" s="99">
        <f t="shared" si="115"/>
        <v>100</v>
      </c>
    </row>
    <row r="859" spans="1:10" ht="32.25" customHeight="1">
      <c r="A859" s="60" t="s">
        <v>490</v>
      </c>
      <c r="B859" s="26" t="s">
        <v>45</v>
      </c>
      <c r="C859" s="57" t="s">
        <v>384</v>
      </c>
      <c r="D859" s="57" t="s">
        <v>384</v>
      </c>
      <c r="E859" s="55" t="s">
        <v>467</v>
      </c>
      <c r="F859" s="28" t="s">
        <v>367</v>
      </c>
      <c r="G859" s="10">
        <f>4387-5</f>
        <v>4382</v>
      </c>
      <c r="H859" s="10">
        <f>4387-5</f>
        <v>4382</v>
      </c>
      <c r="I859" s="10">
        <f>4387-5</f>
        <v>4382</v>
      </c>
      <c r="J859" s="99">
        <f t="shared" si="115"/>
        <v>100</v>
      </c>
    </row>
    <row r="860" spans="1:10" ht="12" customHeight="1">
      <c r="A860" s="64"/>
      <c r="B860" s="26"/>
      <c r="C860" s="26"/>
      <c r="D860" s="26"/>
      <c r="E860" s="27"/>
      <c r="F860" s="28"/>
      <c r="G860" s="10"/>
      <c r="H860" s="10"/>
      <c r="I860" s="10"/>
      <c r="J860" s="99"/>
    </row>
    <row r="861" spans="1:10" ht="16.5" customHeight="1">
      <c r="A861" s="31" t="s">
        <v>239</v>
      </c>
      <c r="B861" s="26" t="s">
        <v>45</v>
      </c>
      <c r="C861" s="26" t="s">
        <v>384</v>
      </c>
      <c r="D861" s="26" t="s">
        <v>386</v>
      </c>
      <c r="E861" s="34"/>
      <c r="F861" s="35"/>
      <c r="G861" s="10">
        <f>G862+G870+G873+G881+G878+G865</f>
        <v>40618</v>
      </c>
      <c r="H861" s="10">
        <f>H862+H870+H873+H881+H878+H865</f>
        <v>40781</v>
      </c>
      <c r="I861" s="10">
        <f>I862+I870+I873+I881+I878+I865</f>
        <v>39137</v>
      </c>
      <c r="J861" s="99">
        <f t="shared" si="115"/>
        <v>95.96871091930066</v>
      </c>
    </row>
    <row r="862" spans="1:10" ht="49.5" customHeight="1">
      <c r="A862" s="23" t="s">
        <v>231</v>
      </c>
      <c r="B862" s="26" t="s">
        <v>45</v>
      </c>
      <c r="C862" s="26" t="s">
        <v>384</v>
      </c>
      <c r="D862" s="26" t="s">
        <v>386</v>
      </c>
      <c r="E862" s="26" t="s">
        <v>233</v>
      </c>
      <c r="F862" s="28"/>
      <c r="G862" s="10">
        <f aca="true" t="shared" si="119" ref="G862:I863">G863</f>
        <v>19335</v>
      </c>
      <c r="H862" s="10">
        <f t="shared" si="119"/>
        <v>19335</v>
      </c>
      <c r="I862" s="10">
        <f t="shared" si="119"/>
        <v>19318</v>
      </c>
      <c r="J862" s="99">
        <f t="shared" si="115"/>
        <v>99.91207654512542</v>
      </c>
    </row>
    <row r="863" spans="1:10" ht="16.5" customHeight="1">
      <c r="A863" s="8" t="s">
        <v>364</v>
      </c>
      <c r="B863" s="26" t="s">
        <v>45</v>
      </c>
      <c r="C863" s="26" t="s">
        <v>384</v>
      </c>
      <c r="D863" s="26" t="s">
        <v>386</v>
      </c>
      <c r="E863" s="26" t="s">
        <v>441</v>
      </c>
      <c r="F863" s="28"/>
      <c r="G863" s="10">
        <f t="shared" si="119"/>
        <v>19335</v>
      </c>
      <c r="H863" s="10">
        <f t="shared" si="119"/>
        <v>19335</v>
      </c>
      <c r="I863" s="10">
        <f t="shared" si="119"/>
        <v>19318</v>
      </c>
      <c r="J863" s="99">
        <f t="shared" si="115"/>
        <v>99.91207654512542</v>
      </c>
    </row>
    <row r="864" spans="1:10" ht="16.5" customHeight="1">
      <c r="A864" s="60" t="s">
        <v>419</v>
      </c>
      <c r="B864" s="26" t="s">
        <v>45</v>
      </c>
      <c r="C864" s="26" t="s">
        <v>384</v>
      </c>
      <c r="D864" s="26" t="s">
        <v>386</v>
      </c>
      <c r="E864" s="26" t="s">
        <v>441</v>
      </c>
      <c r="F864" s="28" t="s">
        <v>420</v>
      </c>
      <c r="G864" s="10">
        <f>21875-313-700-1527</f>
        <v>19335</v>
      </c>
      <c r="H864" s="10">
        <f>21875-313-700-1527</f>
        <v>19335</v>
      </c>
      <c r="I864" s="10">
        <v>19318</v>
      </c>
      <c r="J864" s="99">
        <f t="shared" si="115"/>
        <v>99.91207654512542</v>
      </c>
    </row>
    <row r="865" spans="1:10" ht="16.5" customHeight="1">
      <c r="A865" s="31" t="s">
        <v>371</v>
      </c>
      <c r="B865" s="26" t="s">
        <v>45</v>
      </c>
      <c r="C865" s="26" t="s">
        <v>384</v>
      </c>
      <c r="D865" s="26" t="s">
        <v>386</v>
      </c>
      <c r="E865" s="26" t="s">
        <v>427</v>
      </c>
      <c r="F865" s="28"/>
      <c r="G865" s="10">
        <f aca="true" t="shared" si="120" ref="G865:I866">G866</f>
        <v>0</v>
      </c>
      <c r="H865" s="10">
        <f t="shared" si="120"/>
        <v>83</v>
      </c>
      <c r="I865" s="10">
        <f t="shared" si="120"/>
        <v>83</v>
      </c>
      <c r="J865" s="99">
        <f t="shared" si="115"/>
        <v>100</v>
      </c>
    </row>
    <row r="866" spans="1:10" ht="16.5" customHeight="1">
      <c r="A866" s="8" t="s">
        <v>426</v>
      </c>
      <c r="B866" s="26" t="s">
        <v>45</v>
      </c>
      <c r="C866" s="26" t="s">
        <v>384</v>
      </c>
      <c r="D866" s="26" t="s">
        <v>386</v>
      </c>
      <c r="E866" s="26" t="s">
        <v>428</v>
      </c>
      <c r="F866" s="28"/>
      <c r="G866" s="10">
        <f t="shared" si="120"/>
        <v>0</v>
      </c>
      <c r="H866" s="10">
        <f t="shared" si="120"/>
        <v>83</v>
      </c>
      <c r="I866" s="10">
        <f t="shared" si="120"/>
        <v>83</v>
      </c>
      <c r="J866" s="99">
        <f t="shared" si="115"/>
        <v>100</v>
      </c>
    </row>
    <row r="867" spans="1:10" ht="16.5" customHeight="1">
      <c r="A867" s="67" t="s">
        <v>469</v>
      </c>
      <c r="B867" s="26" t="s">
        <v>45</v>
      </c>
      <c r="C867" s="26" t="s">
        <v>384</v>
      </c>
      <c r="D867" s="26" t="s">
        <v>386</v>
      </c>
      <c r="E867" s="26" t="s">
        <v>311</v>
      </c>
      <c r="F867" s="28"/>
      <c r="G867" s="10">
        <f>G868+G869</f>
        <v>0</v>
      </c>
      <c r="H867" s="10">
        <f>H868+H869</f>
        <v>83</v>
      </c>
      <c r="I867" s="10">
        <f>I868+I869</f>
        <v>83</v>
      </c>
      <c r="J867" s="99">
        <f t="shared" si="115"/>
        <v>100</v>
      </c>
    </row>
    <row r="868" spans="1:10" ht="16.5" customHeight="1">
      <c r="A868" s="64" t="s">
        <v>232</v>
      </c>
      <c r="B868" s="26" t="s">
        <v>45</v>
      </c>
      <c r="C868" s="26" t="s">
        <v>384</v>
      </c>
      <c r="D868" s="26" t="s">
        <v>386</v>
      </c>
      <c r="E868" s="26" t="s">
        <v>312</v>
      </c>
      <c r="F868" s="28" t="s">
        <v>234</v>
      </c>
      <c r="G868" s="10">
        <v>0</v>
      </c>
      <c r="H868" s="10">
        <v>24</v>
      </c>
      <c r="I868" s="10">
        <v>24</v>
      </c>
      <c r="J868" s="99">
        <f t="shared" si="115"/>
        <v>100</v>
      </c>
    </row>
    <row r="869" spans="1:10" ht="16.5" customHeight="1">
      <c r="A869" s="64" t="s">
        <v>429</v>
      </c>
      <c r="B869" s="26" t="s">
        <v>45</v>
      </c>
      <c r="C869" s="26" t="s">
        <v>384</v>
      </c>
      <c r="D869" s="26" t="s">
        <v>386</v>
      </c>
      <c r="E869" s="26" t="s">
        <v>312</v>
      </c>
      <c r="F869" s="28" t="s">
        <v>430</v>
      </c>
      <c r="G869" s="10">
        <v>0</v>
      </c>
      <c r="H869" s="10">
        <v>59</v>
      </c>
      <c r="I869" s="10">
        <v>59</v>
      </c>
      <c r="J869" s="99">
        <f t="shared" si="115"/>
        <v>100</v>
      </c>
    </row>
    <row r="870" spans="1:10" ht="32.25" customHeight="1">
      <c r="A870" s="31" t="s">
        <v>365</v>
      </c>
      <c r="B870" s="26" t="s">
        <v>45</v>
      </c>
      <c r="C870" s="26" t="s">
        <v>384</v>
      </c>
      <c r="D870" s="26" t="s">
        <v>386</v>
      </c>
      <c r="E870" s="27" t="s">
        <v>442</v>
      </c>
      <c r="F870" s="28"/>
      <c r="G870" s="10">
        <f aca="true" t="shared" si="121" ref="G870:I871">G871</f>
        <v>9641</v>
      </c>
      <c r="H870" s="10">
        <f t="shared" si="121"/>
        <v>9641</v>
      </c>
      <c r="I870" s="10">
        <f t="shared" si="121"/>
        <v>9632</v>
      </c>
      <c r="J870" s="99">
        <f t="shared" si="115"/>
        <v>99.90664868789545</v>
      </c>
    </row>
    <row r="871" spans="1:10" ht="16.5" customHeight="1">
      <c r="A871" s="8" t="s">
        <v>359</v>
      </c>
      <c r="B871" s="26" t="s">
        <v>45</v>
      </c>
      <c r="C871" s="26" t="s">
        <v>384</v>
      </c>
      <c r="D871" s="26" t="s">
        <v>386</v>
      </c>
      <c r="E871" s="27" t="s">
        <v>443</v>
      </c>
      <c r="F871" s="28"/>
      <c r="G871" s="10">
        <f t="shared" si="121"/>
        <v>9641</v>
      </c>
      <c r="H871" s="10">
        <f t="shared" si="121"/>
        <v>9641</v>
      </c>
      <c r="I871" s="10">
        <f t="shared" si="121"/>
        <v>9632</v>
      </c>
      <c r="J871" s="99">
        <f t="shared" si="115"/>
        <v>99.90664868789545</v>
      </c>
    </row>
    <row r="872" spans="1:10" ht="16.5" customHeight="1">
      <c r="A872" s="64" t="s">
        <v>232</v>
      </c>
      <c r="B872" s="26" t="s">
        <v>45</v>
      </c>
      <c r="C872" s="26" t="s">
        <v>384</v>
      </c>
      <c r="D872" s="26" t="s">
        <v>386</v>
      </c>
      <c r="E872" s="27" t="s">
        <v>443</v>
      </c>
      <c r="F872" s="28" t="s">
        <v>234</v>
      </c>
      <c r="G872" s="10">
        <f>11010-1369</f>
        <v>9641</v>
      </c>
      <c r="H872" s="10">
        <f>11010-1369</f>
        <v>9641</v>
      </c>
      <c r="I872" s="10">
        <v>9632</v>
      </c>
      <c r="J872" s="99">
        <f t="shared" si="115"/>
        <v>99.90664868789545</v>
      </c>
    </row>
    <row r="873" spans="1:10" ht="16.5" customHeight="1">
      <c r="A873" s="31" t="s">
        <v>366</v>
      </c>
      <c r="B873" s="26" t="s">
        <v>45</v>
      </c>
      <c r="C873" s="26" t="s">
        <v>384</v>
      </c>
      <c r="D873" s="26" t="s">
        <v>386</v>
      </c>
      <c r="E873" s="27" t="s">
        <v>444</v>
      </c>
      <c r="F873" s="28"/>
      <c r="G873" s="10">
        <f>G874</f>
        <v>1967</v>
      </c>
      <c r="H873" s="10">
        <f>H874</f>
        <v>1967</v>
      </c>
      <c r="I873" s="10">
        <f>I874</f>
        <v>1967</v>
      </c>
      <c r="J873" s="99">
        <f t="shared" si="115"/>
        <v>100</v>
      </c>
    </row>
    <row r="874" spans="1:10" ht="16.5" customHeight="1">
      <c r="A874" s="8" t="s">
        <v>401</v>
      </c>
      <c r="B874" s="26" t="s">
        <v>45</v>
      </c>
      <c r="C874" s="26" t="s">
        <v>384</v>
      </c>
      <c r="D874" s="26" t="s">
        <v>386</v>
      </c>
      <c r="E874" s="27" t="s">
        <v>445</v>
      </c>
      <c r="F874" s="28"/>
      <c r="G874" s="10">
        <f>G875+G876+G877</f>
        <v>1967</v>
      </c>
      <c r="H874" s="10">
        <f>H875+H876+H877</f>
        <v>1967</v>
      </c>
      <c r="I874" s="10">
        <f>I875+I876+I877</f>
        <v>1967</v>
      </c>
      <c r="J874" s="99">
        <f t="shared" si="115"/>
        <v>100</v>
      </c>
    </row>
    <row r="875" spans="1:10" ht="16.5" customHeight="1">
      <c r="A875" s="64" t="s">
        <v>232</v>
      </c>
      <c r="B875" s="26" t="s">
        <v>45</v>
      </c>
      <c r="C875" s="26" t="s">
        <v>384</v>
      </c>
      <c r="D875" s="26" t="s">
        <v>386</v>
      </c>
      <c r="E875" s="27" t="s">
        <v>445</v>
      </c>
      <c r="F875" s="28" t="s">
        <v>234</v>
      </c>
      <c r="G875" s="10">
        <v>589</v>
      </c>
      <c r="H875" s="10">
        <v>613</v>
      </c>
      <c r="I875" s="10">
        <v>613</v>
      </c>
      <c r="J875" s="99">
        <f t="shared" si="115"/>
        <v>100</v>
      </c>
    </row>
    <row r="876" spans="1:10" ht="16.5" customHeight="1">
      <c r="A876" s="64" t="s">
        <v>429</v>
      </c>
      <c r="B876" s="26" t="s">
        <v>45</v>
      </c>
      <c r="C876" s="54" t="s">
        <v>384</v>
      </c>
      <c r="D876" s="54" t="s">
        <v>386</v>
      </c>
      <c r="E876" s="55" t="s">
        <v>445</v>
      </c>
      <c r="F876" s="56" t="s">
        <v>430</v>
      </c>
      <c r="G876" s="10">
        <f>20631-20000</f>
        <v>631</v>
      </c>
      <c r="H876" s="10">
        <v>631</v>
      </c>
      <c r="I876" s="10">
        <v>631</v>
      </c>
      <c r="J876" s="99">
        <f t="shared" si="115"/>
        <v>100</v>
      </c>
    </row>
    <row r="877" spans="1:10" ht="16.5" customHeight="1">
      <c r="A877" s="60" t="s">
        <v>419</v>
      </c>
      <c r="B877" s="26" t="s">
        <v>45</v>
      </c>
      <c r="C877" s="54" t="s">
        <v>384</v>
      </c>
      <c r="D877" s="54" t="s">
        <v>386</v>
      </c>
      <c r="E877" s="55" t="s">
        <v>445</v>
      </c>
      <c r="F877" s="56" t="s">
        <v>420</v>
      </c>
      <c r="G877" s="10">
        <v>747</v>
      </c>
      <c r="H877" s="10">
        <v>723</v>
      </c>
      <c r="I877" s="10">
        <v>723</v>
      </c>
      <c r="J877" s="99">
        <f t="shared" si="115"/>
        <v>100</v>
      </c>
    </row>
    <row r="878" spans="1:10" ht="18" customHeight="1" hidden="1">
      <c r="A878" s="60" t="s">
        <v>7</v>
      </c>
      <c r="B878" s="26" t="s">
        <v>45</v>
      </c>
      <c r="C878" s="54" t="s">
        <v>384</v>
      </c>
      <c r="D878" s="54" t="s">
        <v>386</v>
      </c>
      <c r="E878" s="55" t="s">
        <v>9</v>
      </c>
      <c r="F878" s="56"/>
      <c r="G878" s="10">
        <f aca="true" t="shared" si="122" ref="G878:I879">G879</f>
        <v>0</v>
      </c>
      <c r="H878" s="10">
        <f t="shared" si="122"/>
        <v>0</v>
      </c>
      <c r="I878" s="10">
        <f t="shared" si="122"/>
        <v>0</v>
      </c>
      <c r="J878" s="99" t="e">
        <f t="shared" si="115"/>
        <v>#DIV/0!</v>
      </c>
    </row>
    <row r="879" spans="1:10" ht="48.75" customHeight="1" hidden="1">
      <c r="A879" s="60" t="s">
        <v>14</v>
      </c>
      <c r="B879" s="26" t="s">
        <v>45</v>
      </c>
      <c r="C879" s="54" t="s">
        <v>384</v>
      </c>
      <c r="D879" s="54" t="s">
        <v>386</v>
      </c>
      <c r="E879" s="55" t="s">
        <v>13</v>
      </c>
      <c r="F879" s="56"/>
      <c r="G879" s="10">
        <f t="shared" si="122"/>
        <v>0</v>
      </c>
      <c r="H879" s="10">
        <f t="shared" si="122"/>
        <v>0</v>
      </c>
      <c r="I879" s="10">
        <f t="shared" si="122"/>
        <v>0</v>
      </c>
      <c r="J879" s="99" t="e">
        <f t="shared" si="115"/>
        <v>#DIV/0!</v>
      </c>
    </row>
    <row r="880" spans="1:10" ht="18" customHeight="1" hidden="1">
      <c r="A880" s="60" t="s">
        <v>492</v>
      </c>
      <c r="B880" s="26" t="s">
        <v>45</v>
      </c>
      <c r="C880" s="54" t="s">
        <v>384</v>
      </c>
      <c r="D880" s="54" t="s">
        <v>386</v>
      </c>
      <c r="E880" s="55" t="s">
        <v>13</v>
      </c>
      <c r="F880" s="56" t="s">
        <v>493</v>
      </c>
      <c r="G880" s="10">
        <f>875-875</f>
        <v>0</v>
      </c>
      <c r="H880" s="10">
        <f>875-875</f>
        <v>0</v>
      </c>
      <c r="I880" s="10">
        <f>875-875</f>
        <v>0</v>
      </c>
      <c r="J880" s="99" t="e">
        <f t="shared" si="115"/>
        <v>#DIV/0!</v>
      </c>
    </row>
    <row r="881" spans="1:10" ht="16.5" customHeight="1">
      <c r="A881" s="23" t="s">
        <v>199</v>
      </c>
      <c r="B881" s="26" t="s">
        <v>45</v>
      </c>
      <c r="C881" s="26" t="s">
        <v>384</v>
      </c>
      <c r="D881" s="26" t="s">
        <v>386</v>
      </c>
      <c r="E881" s="27" t="s">
        <v>417</v>
      </c>
      <c r="F881" s="56"/>
      <c r="G881" s="10">
        <f>G882+G884+G887+G892+G895+G897+G900+G903+G906+G909</f>
        <v>9675</v>
      </c>
      <c r="H881" s="10">
        <f>H882+H884+H887+H892+H895+H897+H900+H903+H906+H909</f>
        <v>9755</v>
      </c>
      <c r="I881" s="10">
        <f>I882+I884+I887+I892+I895+I897+I900+I903+I906+I909</f>
        <v>8137</v>
      </c>
      <c r="J881" s="99">
        <f t="shared" si="115"/>
        <v>83.41363403382881</v>
      </c>
    </row>
    <row r="882" spans="1:10" ht="31.5" customHeight="1" hidden="1">
      <c r="A882" s="31" t="s">
        <v>491</v>
      </c>
      <c r="B882" s="26" t="s">
        <v>45</v>
      </c>
      <c r="C882" s="26" t="s">
        <v>384</v>
      </c>
      <c r="D882" s="26" t="s">
        <v>386</v>
      </c>
      <c r="E882" s="27" t="s">
        <v>241</v>
      </c>
      <c r="F882" s="56"/>
      <c r="G882" s="10">
        <f>G883</f>
        <v>0</v>
      </c>
      <c r="H882" s="10">
        <f>H883</f>
        <v>0</v>
      </c>
      <c r="I882" s="10">
        <f>I883</f>
        <v>0</v>
      </c>
      <c r="J882" s="99" t="e">
        <f t="shared" si="115"/>
        <v>#DIV/0!</v>
      </c>
    </row>
    <row r="883" spans="1:10" ht="18" customHeight="1" hidden="1">
      <c r="A883" s="64" t="s">
        <v>232</v>
      </c>
      <c r="B883" s="26" t="s">
        <v>45</v>
      </c>
      <c r="C883" s="54" t="s">
        <v>384</v>
      </c>
      <c r="D883" s="54" t="s">
        <v>386</v>
      </c>
      <c r="E883" s="55" t="s">
        <v>241</v>
      </c>
      <c r="F883" s="56" t="s">
        <v>234</v>
      </c>
      <c r="G883" s="10">
        <f>120-120</f>
        <v>0</v>
      </c>
      <c r="H883" s="10">
        <f>120-120</f>
        <v>0</v>
      </c>
      <c r="I883" s="10">
        <f>120-120</f>
        <v>0</v>
      </c>
      <c r="J883" s="99" t="e">
        <f t="shared" si="115"/>
        <v>#DIV/0!</v>
      </c>
    </row>
    <row r="884" spans="1:10" ht="17.25" customHeight="1" hidden="1">
      <c r="A884" s="64" t="s">
        <v>562</v>
      </c>
      <c r="B884" s="26" t="s">
        <v>45</v>
      </c>
      <c r="C884" s="54" t="s">
        <v>384</v>
      </c>
      <c r="D884" s="54" t="s">
        <v>386</v>
      </c>
      <c r="E884" s="55" t="s">
        <v>446</v>
      </c>
      <c r="F884" s="56"/>
      <c r="G884" s="10">
        <f>G885+G886</f>
        <v>0</v>
      </c>
      <c r="H884" s="10">
        <f>H885+H886</f>
        <v>0</v>
      </c>
      <c r="I884" s="10">
        <f>I885+I886</f>
        <v>0</v>
      </c>
      <c r="J884" s="99" t="e">
        <f t="shared" si="115"/>
        <v>#DIV/0!</v>
      </c>
    </row>
    <row r="885" spans="1:10" ht="18" customHeight="1" hidden="1">
      <c r="A885" s="64" t="s">
        <v>232</v>
      </c>
      <c r="B885" s="26" t="s">
        <v>45</v>
      </c>
      <c r="C885" s="54" t="s">
        <v>384</v>
      </c>
      <c r="D885" s="54" t="s">
        <v>386</v>
      </c>
      <c r="E885" s="55" t="s">
        <v>446</v>
      </c>
      <c r="F885" s="56" t="s">
        <v>234</v>
      </c>
      <c r="G885" s="10">
        <f>100-100</f>
        <v>0</v>
      </c>
      <c r="H885" s="10">
        <f>100-100</f>
        <v>0</v>
      </c>
      <c r="I885" s="10">
        <f>100-100</f>
        <v>0</v>
      </c>
      <c r="J885" s="99" t="e">
        <f t="shared" si="115"/>
        <v>#DIV/0!</v>
      </c>
    </row>
    <row r="886" spans="1:10" ht="18" customHeight="1" hidden="1">
      <c r="A886" s="60" t="s">
        <v>492</v>
      </c>
      <c r="B886" s="26" t="s">
        <v>45</v>
      </c>
      <c r="C886" s="54" t="s">
        <v>384</v>
      </c>
      <c r="D886" s="54" t="s">
        <v>386</v>
      </c>
      <c r="E886" s="55" t="s">
        <v>446</v>
      </c>
      <c r="F886" s="56" t="s">
        <v>493</v>
      </c>
      <c r="G886" s="10">
        <f>50-50</f>
        <v>0</v>
      </c>
      <c r="H886" s="10">
        <f>50-50</f>
        <v>0</v>
      </c>
      <c r="I886" s="10">
        <f>50-50</f>
        <v>0</v>
      </c>
      <c r="J886" s="99" t="e">
        <f t="shared" si="115"/>
        <v>#DIV/0!</v>
      </c>
    </row>
    <row r="887" spans="1:10" ht="32.25" customHeight="1">
      <c r="A887" s="64" t="s">
        <v>517</v>
      </c>
      <c r="B887" s="26" t="s">
        <v>45</v>
      </c>
      <c r="C887" s="54" t="s">
        <v>384</v>
      </c>
      <c r="D887" s="54" t="s">
        <v>386</v>
      </c>
      <c r="E887" s="55" t="s">
        <v>447</v>
      </c>
      <c r="F887" s="56"/>
      <c r="G887" s="10">
        <f>G888</f>
        <v>9388</v>
      </c>
      <c r="H887" s="10">
        <f>H888</f>
        <v>9388</v>
      </c>
      <c r="I887" s="10">
        <f>I888</f>
        <v>7770</v>
      </c>
      <c r="J887" s="99">
        <f t="shared" si="115"/>
        <v>82.76523221133361</v>
      </c>
    </row>
    <row r="888" spans="1:10" ht="32.25" customHeight="1">
      <c r="A888" s="31" t="s">
        <v>61</v>
      </c>
      <c r="B888" s="26" t="s">
        <v>45</v>
      </c>
      <c r="C888" s="54" t="s">
        <v>384</v>
      </c>
      <c r="D888" s="54" t="s">
        <v>386</v>
      </c>
      <c r="E888" s="55" t="s">
        <v>467</v>
      </c>
      <c r="F888" s="56"/>
      <c r="G888" s="10">
        <f>G889+G890+G891</f>
        <v>9388</v>
      </c>
      <c r="H888" s="10">
        <f>H889+H890+H891</f>
        <v>9388</v>
      </c>
      <c r="I888" s="10">
        <f>I889+I890+I891</f>
        <v>7770</v>
      </c>
      <c r="J888" s="99">
        <f t="shared" si="115"/>
        <v>82.76523221133361</v>
      </c>
    </row>
    <row r="889" spans="1:10" ht="16.5" customHeight="1">
      <c r="A889" s="64" t="s">
        <v>232</v>
      </c>
      <c r="B889" s="26" t="s">
        <v>45</v>
      </c>
      <c r="C889" s="54" t="s">
        <v>384</v>
      </c>
      <c r="D889" s="54" t="s">
        <v>386</v>
      </c>
      <c r="E889" s="55" t="s">
        <v>467</v>
      </c>
      <c r="F889" s="56" t="s">
        <v>234</v>
      </c>
      <c r="G889" s="10">
        <f>11838-2450</f>
        <v>9388</v>
      </c>
      <c r="H889" s="10">
        <f>11838-2450</f>
        <v>9388</v>
      </c>
      <c r="I889" s="10">
        <v>7770</v>
      </c>
      <c r="J889" s="99">
        <f t="shared" si="115"/>
        <v>82.76523221133361</v>
      </c>
    </row>
    <row r="890" spans="1:10" ht="18" customHeight="1" hidden="1">
      <c r="A890" s="60" t="s">
        <v>492</v>
      </c>
      <c r="B890" s="26" t="s">
        <v>45</v>
      </c>
      <c r="C890" s="54" t="s">
        <v>384</v>
      </c>
      <c r="D890" s="54" t="s">
        <v>386</v>
      </c>
      <c r="E890" s="55" t="s">
        <v>467</v>
      </c>
      <c r="F890" s="56" t="s">
        <v>493</v>
      </c>
      <c r="G890" s="10">
        <f>435-435</f>
        <v>0</v>
      </c>
      <c r="H890" s="10">
        <f>435-435</f>
        <v>0</v>
      </c>
      <c r="I890" s="10">
        <f>435-435</f>
        <v>0</v>
      </c>
      <c r="J890" s="99" t="e">
        <f t="shared" si="115"/>
        <v>#DIV/0!</v>
      </c>
    </row>
    <row r="891" spans="1:10" ht="18" customHeight="1" hidden="1">
      <c r="A891" s="60" t="s">
        <v>419</v>
      </c>
      <c r="B891" s="26" t="s">
        <v>45</v>
      </c>
      <c r="C891" s="54" t="s">
        <v>384</v>
      </c>
      <c r="D891" s="54" t="s">
        <v>386</v>
      </c>
      <c r="E891" s="55" t="s">
        <v>467</v>
      </c>
      <c r="F891" s="56" t="s">
        <v>420</v>
      </c>
      <c r="G891" s="10">
        <f>35-35</f>
        <v>0</v>
      </c>
      <c r="H891" s="10">
        <f>35-35</f>
        <v>0</v>
      </c>
      <c r="I891" s="10">
        <f>35-35</f>
        <v>0</v>
      </c>
      <c r="J891" s="99" t="e">
        <f t="shared" si="115"/>
        <v>#DIV/0!</v>
      </c>
    </row>
    <row r="892" spans="1:10" ht="49.5" customHeight="1">
      <c r="A892" s="23" t="s">
        <v>547</v>
      </c>
      <c r="B892" s="26" t="s">
        <v>45</v>
      </c>
      <c r="C892" s="26" t="s">
        <v>384</v>
      </c>
      <c r="D892" s="26" t="s">
        <v>386</v>
      </c>
      <c r="E892" s="27" t="s">
        <v>418</v>
      </c>
      <c r="F892" s="28"/>
      <c r="G892" s="10">
        <f>G893+G894</f>
        <v>140</v>
      </c>
      <c r="H892" s="10">
        <f>H893+H894</f>
        <v>140</v>
      </c>
      <c r="I892" s="10">
        <f>I893+I894</f>
        <v>140</v>
      </c>
      <c r="J892" s="99">
        <f t="shared" si="115"/>
        <v>100</v>
      </c>
    </row>
    <row r="893" spans="1:10" ht="16.5" customHeight="1">
      <c r="A893" s="64" t="s">
        <v>232</v>
      </c>
      <c r="B893" s="26" t="s">
        <v>45</v>
      </c>
      <c r="C893" s="26" t="s">
        <v>384</v>
      </c>
      <c r="D893" s="26" t="s">
        <v>386</v>
      </c>
      <c r="E893" s="27" t="s">
        <v>418</v>
      </c>
      <c r="F893" s="28" t="s">
        <v>234</v>
      </c>
      <c r="G893" s="10">
        <f>100-100+140</f>
        <v>140</v>
      </c>
      <c r="H893" s="10">
        <f>100-100+140</f>
        <v>140</v>
      </c>
      <c r="I893" s="10">
        <f>100-100+140</f>
        <v>140</v>
      </c>
      <c r="J893" s="99">
        <f t="shared" si="115"/>
        <v>100</v>
      </c>
    </row>
    <row r="894" spans="1:10" ht="18" customHeight="1" hidden="1">
      <c r="A894" s="60" t="s">
        <v>492</v>
      </c>
      <c r="B894" s="26" t="s">
        <v>45</v>
      </c>
      <c r="C894" s="54" t="s">
        <v>384</v>
      </c>
      <c r="D894" s="54" t="s">
        <v>386</v>
      </c>
      <c r="E894" s="55" t="s">
        <v>418</v>
      </c>
      <c r="F894" s="56" t="s">
        <v>493</v>
      </c>
      <c r="G894" s="10">
        <f>60-60</f>
        <v>0</v>
      </c>
      <c r="H894" s="10">
        <f>60-60</f>
        <v>0</v>
      </c>
      <c r="I894" s="10">
        <f>60-60</f>
        <v>0</v>
      </c>
      <c r="J894" s="99" t="e">
        <f t="shared" si="115"/>
        <v>#DIV/0!</v>
      </c>
    </row>
    <row r="895" spans="1:10" ht="32.25" customHeight="1" hidden="1">
      <c r="A895" s="31" t="s">
        <v>494</v>
      </c>
      <c r="B895" s="26" t="s">
        <v>45</v>
      </c>
      <c r="C895" s="54" t="s">
        <v>384</v>
      </c>
      <c r="D895" s="54" t="s">
        <v>386</v>
      </c>
      <c r="E895" s="27" t="s">
        <v>237</v>
      </c>
      <c r="F895" s="56"/>
      <c r="G895" s="10">
        <f>G896</f>
        <v>0</v>
      </c>
      <c r="H895" s="10">
        <f>H896</f>
        <v>0</v>
      </c>
      <c r="I895" s="10">
        <f>I896</f>
        <v>0</v>
      </c>
      <c r="J895" s="99" t="e">
        <f t="shared" si="115"/>
        <v>#DIV/0!</v>
      </c>
    </row>
    <row r="896" spans="1:10" ht="17.25" customHeight="1" hidden="1">
      <c r="A896" s="64" t="s">
        <v>232</v>
      </c>
      <c r="B896" s="26" t="s">
        <v>45</v>
      </c>
      <c r="C896" s="54" t="s">
        <v>384</v>
      </c>
      <c r="D896" s="54" t="s">
        <v>386</v>
      </c>
      <c r="E896" s="27" t="s">
        <v>237</v>
      </c>
      <c r="F896" s="56" t="s">
        <v>234</v>
      </c>
      <c r="G896" s="10">
        <f>100-100</f>
        <v>0</v>
      </c>
      <c r="H896" s="10">
        <f>100-100</f>
        <v>0</v>
      </c>
      <c r="I896" s="10">
        <f>100-100</f>
        <v>0</v>
      </c>
      <c r="J896" s="99" t="e">
        <f t="shared" si="115"/>
        <v>#DIV/0!</v>
      </c>
    </row>
    <row r="897" spans="1:10" ht="32.25" customHeight="1">
      <c r="A897" s="60" t="s">
        <v>495</v>
      </c>
      <c r="B897" s="26" t="s">
        <v>45</v>
      </c>
      <c r="C897" s="54" t="s">
        <v>384</v>
      </c>
      <c r="D897" s="54" t="s">
        <v>386</v>
      </c>
      <c r="E897" s="55" t="s">
        <v>448</v>
      </c>
      <c r="F897" s="56"/>
      <c r="G897" s="10">
        <f>G898+G899</f>
        <v>92</v>
      </c>
      <c r="H897" s="10">
        <f>H898+H899</f>
        <v>92</v>
      </c>
      <c r="I897" s="10">
        <f>I898+I899</f>
        <v>92</v>
      </c>
      <c r="J897" s="99">
        <f t="shared" si="115"/>
        <v>100</v>
      </c>
    </row>
    <row r="898" spans="1:10" ht="16.5" customHeight="1">
      <c r="A898" s="64" t="s">
        <v>232</v>
      </c>
      <c r="B898" s="26" t="s">
        <v>45</v>
      </c>
      <c r="C898" s="54" t="s">
        <v>384</v>
      </c>
      <c r="D898" s="54" t="s">
        <v>386</v>
      </c>
      <c r="E898" s="55" t="s">
        <v>448</v>
      </c>
      <c r="F898" s="56" t="s">
        <v>234</v>
      </c>
      <c r="G898" s="10">
        <f>96-96+56-24</f>
        <v>32</v>
      </c>
      <c r="H898" s="10">
        <f>96-96+56-24</f>
        <v>32</v>
      </c>
      <c r="I898" s="10">
        <f>96-96+56-24</f>
        <v>32</v>
      </c>
      <c r="J898" s="99">
        <f t="shared" si="115"/>
        <v>100</v>
      </c>
    </row>
    <row r="899" spans="1:10" ht="16.5" customHeight="1">
      <c r="A899" s="60" t="s">
        <v>492</v>
      </c>
      <c r="B899" s="26" t="s">
        <v>45</v>
      </c>
      <c r="C899" s="54" t="s">
        <v>384</v>
      </c>
      <c r="D899" s="54" t="s">
        <v>386</v>
      </c>
      <c r="E899" s="55" t="s">
        <v>448</v>
      </c>
      <c r="F899" s="56" t="s">
        <v>493</v>
      </c>
      <c r="G899" s="10">
        <f>71-71+36+24</f>
        <v>60</v>
      </c>
      <c r="H899" s="10">
        <f>71-71+36+24</f>
        <v>60</v>
      </c>
      <c r="I899" s="10">
        <f>71-71+36+24</f>
        <v>60</v>
      </c>
      <c r="J899" s="99">
        <f t="shared" si="115"/>
        <v>100</v>
      </c>
    </row>
    <row r="900" spans="1:10" ht="48.75" customHeight="1" hidden="1">
      <c r="A900" s="64" t="s">
        <v>496</v>
      </c>
      <c r="B900" s="26" t="s">
        <v>45</v>
      </c>
      <c r="C900" s="26" t="s">
        <v>384</v>
      </c>
      <c r="D900" s="26" t="s">
        <v>386</v>
      </c>
      <c r="E900" s="27" t="s">
        <v>449</v>
      </c>
      <c r="F900" s="28"/>
      <c r="G900" s="10">
        <f>G901+G902</f>
        <v>0</v>
      </c>
      <c r="H900" s="10">
        <f>H901+H902</f>
        <v>0</v>
      </c>
      <c r="I900" s="10">
        <f>I901+I902</f>
        <v>0</v>
      </c>
      <c r="J900" s="99" t="e">
        <f t="shared" si="115"/>
        <v>#DIV/0!</v>
      </c>
    </row>
    <row r="901" spans="1:10" ht="18" customHeight="1" hidden="1">
      <c r="A901" s="64" t="s">
        <v>232</v>
      </c>
      <c r="B901" s="26" t="s">
        <v>45</v>
      </c>
      <c r="C901" s="26" t="s">
        <v>384</v>
      </c>
      <c r="D901" s="26" t="s">
        <v>386</v>
      </c>
      <c r="E901" s="27" t="s">
        <v>449</v>
      </c>
      <c r="F901" s="28" t="s">
        <v>234</v>
      </c>
      <c r="G901" s="10">
        <f>75616-75616</f>
        <v>0</v>
      </c>
      <c r="H901" s="10">
        <f>75616-75616</f>
        <v>0</v>
      </c>
      <c r="I901" s="10">
        <f>75616-75616</f>
        <v>0</v>
      </c>
      <c r="J901" s="99" t="e">
        <f t="shared" si="115"/>
        <v>#DIV/0!</v>
      </c>
    </row>
    <row r="902" spans="1:10" ht="18" customHeight="1" hidden="1">
      <c r="A902" s="60" t="s">
        <v>492</v>
      </c>
      <c r="B902" s="26" t="s">
        <v>45</v>
      </c>
      <c r="C902" s="26" t="s">
        <v>384</v>
      </c>
      <c r="D902" s="26" t="s">
        <v>386</v>
      </c>
      <c r="E902" s="27" t="s">
        <v>449</v>
      </c>
      <c r="F902" s="28" t="s">
        <v>493</v>
      </c>
      <c r="G902" s="10">
        <f>2578-2578</f>
        <v>0</v>
      </c>
      <c r="H902" s="10">
        <f>2578-2578</f>
        <v>0</v>
      </c>
      <c r="I902" s="10">
        <f>2578-2578</f>
        <v>0</v>
      </c>
      <c r="J902" s="99" t="e">
        <f t="shared" si="115"/>
        <v>#DIV/0!</v>
      </c>
    </row>
    <row r="903" spans="1:10" ht="33" customHeight="1" hidden="1">
      <c r="A903" s="31" t="s">
        <v>497</v>
      </c>
      <c r="B903" s="26" t="s">
        <v>45</v>
      </c>
      <c r="C903" s="26" t="s">
        <v>384</v>
      </c>
      <c r="D903" s="26" t="s">
        <v>386</v>
      </c>
      <c r="E903" s="27" t="s">
        <v>243</v>
      </c>
      <c r="F903" s="28"/>
      <c r="G903" s="10">
        <f aca="true" t="shared" si="123" ref="G903:I904">G904</f>
        <v>0</v>
      </c>
      <c r="H903" s="10">
        <f t="shared" si="123"/>
        <v>0</v>
      </c>
      <c r="I903" s="10">
        <f t="shared" si="123"/>
        <v>0</v>
      </c>
      <c r="J903" s="99" t="e">
        <f t="shared" si="115"/>
        <v>#DIV/0!</v>
      </c>
    </row>
    <row r="904" spans="1:10" ht="48.75" customHeight="1" hidden="1">
      <c r="A904" s="31" t="s">
        <v>498</v>
      </c>
      <c r="B904" s="26" t="s">
        <v>45</v>
      </c>
      <c r="C904" s="26" t="s">
        <v>384</v>
      </c>
      <c r="D904" s="26" t="s">
        <v>386</v>
      </c>
      <c r="E904" s="27" t="s">
        <v>454</v>
      </c>
      <c r="F904" s="28"/>
      <c r="G904" s="10">
        <f t="shared" si="123"/>
        <v>0</v>
      </c>
      <c r="H904" s="10">
        <f t="shared" si="123"/>
        <v>0</v>
      </c>
      <c r="I904" s="10">
        <f t="shared" si="123"/>
        <v>0</v>
      </c>
      <c r="J904" s="99" t="e">
        <f t="shared" si="115"/>
        <v>#DIV/0!</v>
      </c>
    </row>
    <row r="905" spans="1:10" ht="18" customHeight="1" hidden="1">
      <c r="A905" s="64" t="s">
        <v>232</v>
      </c>
      <c r="B905" s="26" t="s">
        <v>45</v>
      </c>
      <c r="C905" s="54" t="s">
        <v>384</v>
      </c>
      <c r="D905" s="54" t="s">
        <v>386</v>
      </c>
      <c r="E905" s="55" t="s">
        <v>454</v>
      </c>
      <c r="F905" s="56" t="s">
        <v>234</v>
      </c>
      <c r="G905" s="10">
        <f>500-500</f>
        <v>0</v>
      </c>
      <c r="H905" s="10">
        <f>500-500</f>
        <v>0</v>
      </c>
      <c r="I905" s="10">
        <f>500-500</f>
        <v>0</v>
      </c>
      <c r="J905" s="99" t="e">
        <f t="shared" si="115"/>
        <v>#DIV/0!</v>
      </c>
    </row>
    <row r="906" spans="1:10" ht="32.25" customHeight="1">
      <c r="A906" s="64" t="s">
        <v>185</v>
      </c>
      <c r="B906" s="26" t="s">
        <v>45</v>
      </c>
      <c r="C906" s="26" t="s">
        <v>384</v>
      </c>
      <c r="D906" s="26" t="s">
        <v>386</v>
      </c>
      <c r="E906" s="27" t="s">
        <v>479</v>
      </c>
      <c r="F906" s="28"/>
      <c r="G906" s="10">
        <f>G907+G908</f>
        <v>55</v>
      </c>
      <c r="H906" s="10">
        <f>H907+H908</f>
        <v>135</v>
      </c>
      <c r="I906" s="10">
        <f>I907+I908</f>
        <v>135</v>
      </c>
      <c r="J906" s="99">
        <f t="shared" si="115"/>
        <v>100</v>
      </c>
    </row>
    <row r="907" spans="1:10" ht="16.5" customHeight="1">
      <c r="A907" s="64" t="s">
        <v>232</v>
      </c>
      <c r="B907" s="26" t="s">
        <v>45</v>
      </c>
      <c r="C907" s="26" t="s">
        <v>384</v>
      </c>
      <c r="D907" s="26" t="s">
        <v>386</v>
      </c>
      <c r="E907" s="27" t="s">
        <v>479</v>
      </c>
      <c r="F907" s="28" t="s">
        <v>234</v>
      </c>
      <c r="G907" s="10">
        <f>20+80-80</f>
        <v>20</v>
      </c>
      <c r="H907" s="10">
        <v>100</v>
      </c>
      <c r="I907" s="10">
        <v>100</v>
      </c>
      <c r="J907" s="99">
        <f t="shared" si="115"/>
        <v>100</v>
      </c>
    </row>
    <row r="908" spans="1:10" ht="16.5" customHeight="1">
      <c r="A908" s="60" t="s">
        <v>492</v>
      </c>
      <c r="B908" s="26" t="s">
        <v>45</v>
      </c>
      <c r="C908" s="26" t="s">
        <v>384</v>
      </c>
      <c r="D908" s="26" t="s">
        <v>386</v>
      </c>
      <c r="E908" s="27" t="s">
        <v>479</v>
      </c>
      <c r="F908" s="28" t="s">
        <v>493</v>
      </c>
      <c r="G908" s="10">
        <f>35</f>
        <v>35</v>
      </c>
      <c r="H908" s="10">
        <f>35</f>
        <v>35</v>
      </c>
      <c r="I908" s="10">
        <f>35</f>
        <v>35</v>
      </c>
      <c r="J908" s="99">
        <f t="shared" si="115"/>
        <v>100</v>
      </c>
    </row>
    <row r="909" spans="1:10" ht="48.75" customHeight="1" hidden="1">
      <c r="A909" s="64" t="s">
        <v>499</v>
      </c>
      <c r="B909" s="26" t="s">
        <v>45</v>
      </c>
      <c r="C909" s="26" t="s">
        <v>384</v>
      </c>
      <c r="D909" s="26" t="s">
        <v>386</v>
      </c>
      <c r="E909" s="27" t="s">
        <v>481</v>
      </c>
      <c r="F909" s="28"/>
      <c r="G909" s="10">
        <f>G910</f>
        <v>0</v>
      </c>
      <c r="H909" s="10">
        <f>H910</f>
        <v>0</v>
      </c>
      <c r="I909" s="10">
        <f>I910</f>
        <v>0</v>
      </c>
      <c r="J909" s="99" t="e">
        <f aca="true" t="shared" si="124" ref="J909:J972">I909/H909*100</f>
        <v>#DIV/0!</v>
      </c>
    </row>
    <row r="910" spans="1:10" ht="17.25" customHeight="1" hidden="1">
      <c r="A910" s="64" t="s">
        <v>232</v>
      </c>
      <c r="B910" s="26" t="s">
        <v>45</v>
      </c>
      <c r="C910" s="26" t="s">
        <v>384</v>
      </c>
      <c r="D910" s="26" t="s">
        <v>386</v>
      </c>
      <c r="E910" s="27" t="s">
        <v>481</v>
      </c>
      <c r="F910" s="28" t="s">
        <v>234</v>
      </c>
      <c r="G910" s="10">
        <f>56-56</f>
        <v>0</v>
      </c>
      <c r="H910" s="10">
        <f>56-56</f>
        <v>0</v>
      </c>
      <c r="I910" s="10">
        <f>56-56</f>
        <v>0</v>
      </c>
      <c r="J910" s="99" t="e">
        <f t="shared" si="124"/>
        <v>#DIV/0!</v>
      </c>
    </row>
    <row r="911" spans="1:10" ht="12" customHeight="1">
      <c r="A911" s="64"/>
      <c r="B911" s="26"/>
      <c r="C911" s="26"/>
      <c r="D911" s="26"/>
      <c r="E911" s="27"/>
      <c r="F911" s="28"/>
      <c r="G911" s="10"/>
      <c r="H911" s="10"/>
      <c r="I911" s="10"/>
      <c r="J911" s="99"/>
    </row>
    <row r="912" spans="1:10" ht="16.5" customHeight="1">
      <c r="A912" s="62" t="s">
        <v>255</v>
      </c>
      <c r="B912" s="30" t="s">
        <v>45</v>
      </c>
      <c r="C912" s="30" t="s">
        <v>387</v>
      </c>
      <c r="D912" s="30"/>
      <c r="E912" s="15"/>
      <c r="F912" s="33"/>
      <c r="G912" s="5">
        <f>G919+G913</f>
        <v>64105</v>
      </c>
      <c r="H912" s="5">
        <f>H919+H913</f>
        <v>62905</v>
      </c>
      <c r="I912" s="5">
        <f>I919+I913</f>
        <v>58429</v>
      </c>
      <c r="J912" s="103">
        <f t="shared" si="124"/>
        <v>92.88450838566091</v>
      </c>
    </row>
    <row r="913" spans="1:10" ht="16.5" customHeight="1">
      <c r="A913" s="31" t="s">
        <v>256</v>
      </c>
      <c r="B913" s="20" t="s">
        <v>45</v>
      </c>
      <c r="C913" s="20" t="s">
        <v>387</v>
      </c>
      <c r="D913" s="20" t="s">
        <v>381</v>
      </c>
      <c r="E913" s="19"/>
      <c r="F913" s="21"/>
      <c r="G913" s="6">
        <f aca="true" t="shared" si="125" ref="G913:I916">G914</f>
        <v>15315</v>
      </c>
      <c r="H913" s="6">
        <f t="shared" si="125"/>
        <v>14524</v>
      </c>
      <c r="I913" s="6">
        <f t="shared" si="125"/>
        <v>14367</v>
      </c>
      <c r="J913" s="99">
        <f t="shared" si="124"/>
        <v>98.91903057009088</v>
      </c>
    </row>
    <row r="914" spans="1:10" ht="16.5" customHeight="1">
      <c r="A914" s="64" t="s">
        <v>219</v>
      </c>
      <c r="B914" s="20" t="s">
        <v>45</v>
      </c>
      <c r="C914" s="20" t="s">
        <v>387</v>
      </c>
      <c r="D914" s="20" t="s">
        <v>381</v>
      </c>
      <c r="E914" s="19" t="s">
        <v>548</v>
      </c>
      <c r="F914" s="21"/>
      <c r="G914" s="6">
        <f t="shared" si="125"/>
        <v>15315</v>
      </c>
      <c r="H914" s="6">
        <f t="shared" si="125"/>
        <v>14524</v>
      </c>
      <c r="I914" s="6">
        <f t="shared" si="125"/>
        <v>14367</v>
      </c>
      <c r="J914" s="99">
        <f t="shared" si="124"/>
        <v>98.91903057009088</v>
      </c>
    </row>
    <row r="915" spans="1:10" ht="49.5" customHeight="1">
      <c r="A915" s="64" t="s">
        <v>640</v>
      </c>
      <c r="B915" s="20" t="s">
        <v>45</v>
      </c>
      <c r="C915" s="20" t="s">
        <v>387</v>
      </c>
      <c r="D915" s="20" t="s">
        <v>381</v>
      </c>
      <c r="E915" s="19" t="s">
        <v>642</v>
      </c>
      <c r="F915" s="21"/>
      <c r="G915" s="6">
        <f t="shared" si="125"/>
        <v>15315</v>
      </c>
      <c r="H915" s="6">
        <f t="shared" si="125"/>
        <v>14524</v>
      </c>
      <c r="I915" s="6">
        <f t="shared" si="125"/>
        <v>14367</v>
      </c>
      <c r="J915" s="99">
        <f t="shared" si="124"/>
        <v>98.91903057009088</v>
      </c>
    </row>
    <row r="916" spans="1:10" ht="32.25" customHeight="1">
      <c r="A916" s="64" t="s">
        <v>656</v>
      </c>
      <c r="B916" s="20" t="s">
        <v>45</v>
      </c>
      <c r="C916" s="20" t="s">
        <v>387</v>
      </c>
      <c r="D916" s="20" t="s">
        <v>381</v>
      </c>
      <c r="E916" s="19" t="s">
        <v>659</v>
      </c>
      <c r="F916" s="21"/>
      <c r="G916" s="6">
        <f t="shared" si="125"/>
        <v>15315</v>
      </c>
      <c r="H916" s="6">
        <f t="shared" si="125"/>
        <v>14524</v>
      </c>
      <c r="I916" s="6">
        <f t="shared" si="125"/>
        <v>14367</v>
      </c>
      <c r="J916" s="99">
        <f t="shared" si="124"/>
        <v>98.91903057009088</v>
      </c>
    </row>
    <row r="917" spans="1:10" ht="16.5" customHeight="1">
      <c r="A917" s="59" t="s">
        <v>258</v>
      </c>
      <c r="B917" s="20" t="s">
        <v>45</v>
      </c>
      <c r="C917" s="20" t="s">
        <v>387</v>
      </c>
      <c r="D917" s="20" t="s">
        <v>381</v>
      </c>
      <c r="E917" s="19" t="s">
        <v>659</v>
      </c>
      <c r="F917" s="21" t="s">
        <v>363</v>
      </c>
      <c r="G917" s="6">
        <f>16884+479-2048</f>
        <v>15315</v>
      </c>
      <c r="H917" s="6">
        <v>14524</v>
      </c>
      <c r="I917" s="6">
        <v>14367</v>
      </c>
      <c r="J917" s="99">
        <f t="shared" si="124"/>
        <v>98.91903057009088</v>
      </c>
    </row>
    <row r="918" spans="1:10" ht="12" customHeight="1">
      <c r="A918" s="31"/>
      <c r="B918" s="20"/>
      <c r="C918" s="20"/>
      <c r="D918" s="20"/>
      <c r="E918" s="19"/>
      <c r="F918" s="21"/>
      <c r="G918" s="6"/>
      <c r="H918" s="6"/>
      <c r="I918" s="6"/>
      <c r="J918" s="99"/>
    </row>
    <row r="919" spans="1:10" ht="16.5" customHeight="1">
      <c r="A919" s="59" t="s">
        <v>661</v>
      </c>
      <c r="B919" s="26" t="s">
        <v>45</v>
      </c>
      <c r="C919" s="20" t="s">
        <v>387</v>
      </c>
      <c r="D919" s="20" t="s">
        <v>382</v>
      </c>
      <c r="E919" s="19"/>
      <c r="F919" s="21"/>
      <c r="G919" s="6">
        <f aca="true" t="shared" si="126" ref="G919:I920">G920</f>
        <v>48790</v>
      </c>
      <c r="H919" s="6">
        <f t="shared" si="126"/>
        <v>48381</v>
      </c>
      <c r="I919" s="6">
        <f t="shared" si="126"/>
        <v>44062</v>
      </c>
      <c r="J919" s="99">
        <f t="shared" si="124"/>
        <v>91.0729418573407</v>
      </c>
    </row>
    <row r="920" spans="1:10" ht="16.5" customHeight="1">
      <c r="A920" s="60" t="s">
        <v>646</v>
      </c>
      <c r="B920" s="26" t="s">
        <v>45</v>
      </c>
      <c r="C920" s="26" t="s">
        <v>387</v>
      </c>
      <c r="D920" s="26" t="s">
        <v>382</v>
      </c>
      <c r="E920" s="27" t="s">
        <v>650</v>
      </c>
      <c r="F920" s="28"/>
      <c r="G920" s="10">
        <f t="shared" si="126"/>
        <v>48790</v>
      </c>
      <c r="H920" s="10">
        <f t="shared" si="126"/>
        <v>48381</v>
      </c>
      <c r="I920" s="10">
        <f t="shared" si="126"/>
        <v>44062</v>
      </c>
      <c r="J920" s="99">
        <f t="shared" si="124"/>
        <v>91.0729418573407</v>
      </c>
    </row>
    <row r="921" spans="1:10" ht="66" customHeight="1">
      <c r="A921" s="70" t="s">
        <v>662</v>
      </c>
      <c r="B921" s="26" t="s">
        <v>45</v>
      </c>
      <c r="C921" s="26" t="s">
        <v>387</v>
      </c>
      <c r="D921" s="26" t="s">
        <v>382</v>
      </c>
      <c r="E921" s="27" t="s">
        <v>665</v>
      </c>
      <c r="F921" s="28"/>
      <c r="G921" s="10">
        <f>G922+G924</f>
        <v>48790</v>
      </c>
      <c r="H921" s="10">
        <f>H922+H924</f>
        <v>48381</v>
      </c>
      <c r="I921" s="10">
        <f>I922+I924</f>
        <v>44062</v>
      </c>
      <c r="J921" s="99">
        <f t="shared" si="124"/>
        <v>91.0729418573407</v>
      </c>
    </row>
    <row r="922" spans="1:10" ht="66" customHeight="1">
      <c r="A922" s="70" t="s">
        <v>663</v>
      </c>
      <c r="B922" s="26" t="s">
        <v>45</v>
      </c>
      <c r="C922" s="26" t="s">
        <v>387</v>
      </c>
      <c r="D922" s="26" t="s">
        <v>382</v>
      </c>
      <c r="E922" s="27" t="s">
        <v>666</v>
      </c>
      <c r="F922" s="28"/>
      <c r="G922" s="10">
        <f>G923</f>
        <v>800</v>
      </c>
      <c r="H922" s="10">
        <f>H923</f>
        <v>391</v>
      </c>
      <c r="I922" s="10">
        <f>I923</f>
        <v>31</v>
      </c>
      <c r="J922" s="99">
        <f t="shared" si="124"/>
        <v>7.928388746803069</v>
      </c>
    </row>
    <row r="923" spans="1:10" ht="16.5" customHeight="1">
      <c r="A923" s="59" t="s">
        <v>258</v>
      </c>
      <c r="B923" s="26" t="s">
        <v>45</v>
      </c>
      <c r="C923" s="26" t="s">
        <v>387</v>
      </c>
      <c r="D923" s="26" t="s">
        <v>382</v>
      </c>
      <c r="E923" s="27" t="s">
        <v>666</v>
      </c>
      <c r="F923" s="28" t="s">
        <v>363</v>
      </c>
      <c r="G923" s="10">
        <f>409+391</f>
        <v>800</v>
      </c>
      <c r="H923" s="10">
        <v>391</v>
      </c>
      <c r="I923" s="10">
        <v>31</v>
      </c>
      <c r="J923" s="99">
        <f t="shared" si="124"/>
        <v>7.928388746803069</v>
      </c>
    </row>
    <row r="924" spans="1:10" ht="79.5" customHeight="1">
      <c r="A924" s="59" t="s">
        <v>664</v>
      </c>
      <c r="B924" s="26" t="s">
        <v>45</v>
      </c>
      <c r="C924" s="26" t="s">
        <v>387</v>
      </c>
      <c r="D924" s="26" t="s">
        <v>382</v>
      </c>
      <c r="E924" s="27" t="s">
        <v>667</v>
      </c>
      <c r="F924" s="28"/>
      <c r="G924" s="10">
        <f>G925</f>
        <v>47990</v>
      </c>
      <c r="H924" s="10">
        <f>H925</f>
        <v>47990</v>
      </c>
      <c r="I924" s="10">
        <f>I925</f>
        <v>44031</v>
      </c>
      <c r="J924" s="99">
        <f t="shared" si="124"/>
        <v>91.75036465930401</v>
      </c>
    </row>
    <row r="925" spans="1:10" ht="16.5" customHeight="1">
      <c r="A925" s="59" t="s">
        <v>258</v>
      </c>
      <c r="B925" s="26" t="s">
        <v>45</v>
      </c>
      <c r="C925" s="26" t="s">
        <v>387</v>
      </c>
      <c r="D925" s="26" t="s">
        <v>382</v>
      </c>
      <c r="E925" s="27" t="s">
        <v>667</v>
      </c>
      <c r="F925" s="28" t="s">
        <v>363</v>
      </c>
      <c r="G925" s="10">
        <f>30557+19071-1638</f>
        <v>47990</v>
      </c>
      <c r="H925" s="10">
        <f>30557+19071-1638</f>
        <v>47990</v>
      </c>
      <c r="I925" s="10">
        <v>44031</v>
      </c>
      <c r="J925" s="99">
        <f t="shared" si="124"/>
        <v>91.75036465930401</v>
      </c>
    </row>
    <row r="926" spans="1:10" ht="12" customHeight="1">
      <c r="A926" s="64"/>
      <c r="B926" s="26"/>
      <c r="C926" s="26"/>
      <c r="D926" s="26"/>
      <c r="E926" s="27"/>
      <c r="F926" s="28"/>
      <c r="G926" s="10"/>
      <c r="H926" s="10"/>
      <c r="I926" s="10"/>
      <c r="J926" s="99"/>
    </row>
    <row r="927" spans="1:10" ht="28.5" customHeight="1">
      <c r="A927" s="24" t="s">
        <v>500</v>
      </c>
      <c r="B927" s="30" t="s">
        <v>46</v>
      </c>
      <c r="C927" s="16"/>
      <c r="D927" s="16"/>
      <c r="E927" s="17"/>
      <c r="F927" s="18"/>
      <c r="G927" s="5">
        <f>G928+G938+G1073</f>
        <v>1199946</v>
      </c>
      <c r="H927" s="5">
        <f>H928+H938+H1073</f>
        <v>1210858</v>
      </c>
      <c r="I927" s="5">
        <f>I928+I938+I1073</f>
        <v>1196357</v>
      </c>
      <c r="J927" s="103">
        <f t="shared" si="124"/>
        <v>98.80241944142088</v>
      </c>
    </row>
    <row r="928" spans="1:10" ht="16.5" customHeight="1">
      <c r="A928" s="62" t="s">
        <v>238</v>
      </c>
      <c r="B928" s="30" t="s">
        <v>46</v>
      </c>
      <c r="C928" s="30" t="s">
        <v>384</v>
      </c>
      <c r="D928" s="16"/>
      <c r="E928" s="17"/>
      <c r="F928" s="18"/>
      <c r="G928" s="5">
        <f>G929</f>
        <v>12966</v>
      </c>
      <c r="H928" s="5">
        <f>H929</f>
        <v>12966</v>
      </c>
      <c r="I928" s="5">
        <f>I929</f>
        <v>12958</v>
      </c>
      <c r="J928" s="103">
        <f t="shared" si="124"/>
        <v>99.93830016967453</v>
      </c>
    </row>
    <row r="929" spans="1:10" ht="16.5" customHeight="1">
      <c r="A929" s="31" t="s">
        <v>489</v>
      </c>
      <c r="B929" s="20" t="s">
        <v>46</v>
      </c>
      <c r="C929" s="20" t="s">
        <v>384</v>
      </c>
      <c r="D929" s="20" t="s">
        <v>384</v>
      </c>
      <c r="E929" s="19"/>
      <c r="F929" s="21"/>
      <c r="G929" s="6">
        <f>G933+G930</f>
        <v>12966</v>
      </c>
      <c r="H929" s="6">
        <f>H933+H930</f>
        <v>12966</v>
      </c>
      <c r="I929" s="6">
        <f>I933+I930</f>
        <v>12958</v>
      </c>
      <c r="J929" s="99">
        <f t="shared" si="124"/>
        <v>99.93830016967453</v>
      </c>
    </row>
    <row r="930" spans="1:10" ht="16.5" customHeight="1">
      <c r="A930" s="60" t="s">
        <v>7</v>
      </c>
      <c r="B930" s="20" t="s">
        <v>46</v>
      </c>
      <c r="C930" s="20" t="s">
        <v>384</v>
      </c>
      <c r="D930" s="20" t="s">
        <v>384</v>
      </c>
      <c r="E930" s="19" t="s">
        <v>9</v>
      </c>
      <c r="F930" s="21"/>
      <c r="G930" s="6">
        <f aca="true" t="shared" si="127" ref="G930:I931">G931</f>
        <v>6673</v>
      </c>
      <c r="H930" s="6">
        <f t="shared" si="127"/>
        <v>6673</v>
      </c>
      <c r="I930" s="6">
        <f t="shared" si="127"/>
        <v>6673</v>
      </c>
      <c r="J930" s="99">
        <f t="shared" si="124"/>
        <v>100</v>
      </c>
    </row>
    <row r="931" spans="1:10" ht="49.5" customHeight="1">
      <c r="A931" s="31" t="s">
        <v>14</v>
      </c>
      <c r="B931" s="20" t="s">
        <v>46</v>
      </c>
      <c r="C931" s="20" t="s">
        <v>384</v>
      </c>
      <c r="D931" s="20" t="s">
        <v>384</v>
      </c>
      <c r="E931" s="78" t="s">
        <v>13</v>
      </c>
      <c r="F931" s="21"/>
      <c r="G931" s="6">
        <f t="shared" si="127"/>
        <v>6673</v>
      </c>
      <c r="H931" s="6">
        <f t="shared" si="127"/>
        <v>6673</v>
      </c>
      <c r="I931" s="6">
        <f t="shared" si="127"/>
        <v>6673</v>
      </c>
      <c r="J931" s="99">
        <f t="shared" si="124"/>
        <v>100</v>
      </c>
    </row>
    <row r="932" spans="1:10" ht="32.25" customHeight="1">
      <c r="A932" s="60" t="s">
        <v>490</v>
      </c>
      <c r="B932" s="20" t="s">
        <v>46</v>
      </c>
      <c r="C932" s="20" t="s">
        <v>384</v>
      </c>
      <c r="D932" s="20" t="s">
        <v>384</v>
      </c>
      <c r="E932" s="78" t="s">
        <v>13</v>
      </c>
      <c r="F932" s="21" t="s">
        <v>367</v>
      </c>
      <c r="G932" s="6">
        <v>6673</v>
      </c>
      <c r="H932" s="6">
        <v>6673</v>
      </c>
      <c r="I932" s="6">
        <v>6673</v>
      </c>
      <c r="J932" s="99">
        <f t="shared" si="124"/>
        <v>100</v>
      </c>
    </row>
    <row r="933" spans="1:10" ht="16.5" customHeight="1">
      <c r="A933" s="23" t="s">
        <v>199</v>
      </c>
      <c r="B933" s="20" t="s">
        <v>46</v>
      </c>
      <c r="C933" s="57" t="s">
        <v>384</v>
      </c>
      <c r="D933" s="57" t="s">
        <v>384</v>
      </c>
      <c r="E933" s="27" t="s">
        <v>417</v>
      </c>
      <c r="F933" s="28"/>
      <c r="G933" s="10">
        <f aca="true" t="shared" si="128" ref="G933:I935">G934</f>
        <v>6293</v>
      </c>
      <c r="H933" s="10">
        <f t="shared" si="128"/>
        <v>6293</v>
      </c>
      <c r="I933" s="10">
        <f t="shared" si="128"/>
        <v>6285</v>
      </c>
      <c r="J933" s="99">
        <f t="shared" si="124"/>
        <v>99.87287462259654</v>
      </c>
    </row>
    <row r="934" spans="1:10" ht="32.25" customHeight="1">
      <c r="A934" s="64" t="s">
        <v>517</v>
      </c>
      <c r="B934" s="20" t="s">
        <v>46</v>
      </c>
      <c r="C934" s="57" t="s">
        <v>384</v>
      </c>
      <c r="D934" s="57" t="s">
        <v>384</v>
      </c>
      <c r="E934" s="55" t="s">
        <v>447</v>
      </c>
      <c r="F934" s="28"/>
      <c r="G934" s="10">
        <f t="shared" si="128"/>
        <v>6293</v>
      </c>
      <c r="H934" s="10">
        <f t="shared" si="128"/>
        <v>6293</v>
      </c>
      <c r="I934" s="10">
        <f t="shared" si="128"/>
        <v>6285</v>
      </c>
      <c r="J934" s="99">
        <f t="shared" si="124"/>
        <v>99.87287462259654</v>
      </c>
    </row>
    <row r="935" spans="1:10" ht="32.25" customHeight="1">
      <c r="A935" s="31" t="s">
        <v>61</v>
      </c>
      <c r="B935" s="20" t="s">
        <v>46</v>
      </c>
      <c r="C935" s="57" t="s">
        <v>384</v>
      </c>
      <c r="D935" s="57" t="s">
        <v>384</v>
      </c>
      <c r="E935" s="55" t="s">
        <v>467</v>
      </c>
      <c r="F935" s="28"/>
      <c r="G935" s="10">
        <f t="shared" si="128"/>
        <v>6293</v>
      </c>
      <c r="H935" s="10">
        <f t="shared" si="128"/>
        <v>6293</v>
      </c>
      <c r="I935" s="10">
        <f t="shared" si="128"/>
        <v>6285</v>
      </c>
      <c r="J935" s="99">
        <f t="shared" si="124"/>
        <v>99.87287462259654</v>
      </c>
    </row>
    <row r="936" spans="1:10" ht="32.25" customHeight="1">
      <c r="A936" s="60" t="s">
        <v>490</v>
      </c>
      <c r="B936" s="20" t="s">
        <v>46</v>
      </c>
      <c r="C936" s="57" t="s">
        <v>384</v>
      </c>
      <c r="D936" s="57" t="s">
        <v>384</v>
      </c>
      <c r="E936" s="55" t="s">
        <v>467</v>
      </c>
      <c r="F936" s="28" t="s">
        <v>367</v>
      </c>
      <c r="G936" s="10">
        <f>6548-255</f>
        <v>6293</v>
      </c>
      <c r="H936" s="10">
        <f>6548-255</f>
        <v>6293</v>
      </c>
      <c r="I936" s="10">
        <v>6285</v>
      </c>
      <c r="J936" s="99">
        <f t="shared" si="124"/>
        <v>99.87287462259654</v>
      </c>
    </row>
    <row r="937" spans="1:10" ht="12" customHeight="1">
      <c r="A937" s="60"/>
      <c r="B937" s="57"/>
      <c r="C937" s="57"/>
      <c r="D937" s="57"/>
      <c r="E937" s="55"/>
      <c r="F937" s="28"/>
      <c r="G937" s="10"/>
      <c r="H937" s="10"/>
      <c r="I937" s="10"/>
      <c r="J937" s="99"/>
    </row>
    <row r="938" spans="1:10" ht="16.5" customHeight="1">
      <c r="A938" s="62" t="s">
        <v>247</v>
      </c>
      <c r="B938" s="30" t="s">
        <v>46</v>
      </c>
      <c r="C938" s="30" t="s">
        <v>386</v>
      </c>
      <c r="D938" s="57"/>
      <c r="E938" s="55"/>
      <c r="F938" s="28"/>
      <c r="G938" s="5">
        <f>G939+G961+G993+G1002+G982</f>
        <v>1047096</v>
      </c>
      <c r="H938" s="5">
        <f>H939+H961+H993+H1002+H982</f>
        <v>1051591</v>
      </c>
      <c r="I938" s="5">
        <f>I939+I961+I993+I1002+I982</f>
        <v>1038124</v>
      </c>
      <c r="J938" s="103">
        <f t="shared" si="124"/>
        <v>98.71936903225685</v>
      </c>
    </row>
    <row r="939" spans="1:10" ht="16.5" customHeight="1">
      <c r="A939" s="31" t="s">
        <v>274</v>
      </c>
      <c r="B939" s="20" t="s">
        <v>46</v>
      </c>
      <c r="C939" s="20" t="s">
        <v>386</v>
      </c>
      <c r="D939" s="20" t="s">
        <v>379</v>
      </c>
      <c r="E939" s="19"/>
      <c r="F939" s="21"/>
      <c r="G939" s="10">
        <f>G944+G949+G955+G952+G940</f>
        <v>381779</v>
      </c>
      <c r="H939" s="10">
        <f>H944+H949+H955+H952+H940</f>
        <v>382079</v>
      </c>
      <c r="I939" s="10">
        <f>I944+I949+I955+I952+I940</f>
        <v>381942</v>
      </c>
      <c r="J939" s="99">
        <f t="shared" si="124"/>
        <v>99.96414354099545</v>
      </c>
    </row>
    <row r="940" spans="1:10" ht="16.5" customHeight="1">
      <c r="A940" s="31" t="s">
        <v>371</v>
      </c>
      <c r="B940" s="26" t="s">
        <v>46</v>
      </c>
      <c r="C940" s="26" t="s">
        <v>386</v>
      </c>
      <c r="D940" s="26" t="s">
        <v>379</v>
      </c>
      <c r="E940" s="26" t="s">
        <v>427</v>
      </c>
      <c r="F940" s="28"/>
      <c r="G940" s="10">
        <f aca="true" t="shared" si="129" ref="G940:I942">G941</f>
        <v>0</v>
      </c>
      <c r="H940" s="10">
        <f t="shared" si="129"/>
        <v>300</v>
      </c>
      <c r="I940" s="10">
        <f t="shared" si="129"/>
        <v>300</v>
      </c>
      <c r="J940" s="99">
        <f t="shared" si="124"/>
        <v>100</v>
      </c>
    </row>
    <row r="941" spans="1:10" ht="16.5" customHeight="1">
      <c r="A941" s="8" t="s">
        <v>426</v>
      </c>
      <c r="B941" s="26" t="s">
        <v>46</v>
      </c>
      <c r="C941" s="26" t="s">
        <v>386</v>
      </c>
      <c r="D941" s="26" t="s">
        <v>379</v>
      </c>
      <c r="E941" s="26" t="s">
        <v>428</v>
      </c>
      <c r="F941" s="28"/>
      <c r="G941" s="10">
        <f t="shared" si="129"/>
        <v>0</v>
      </c>
      <c r="H941" s="10">
        <f t="shared" si="129"/>
        <v>300</v>
      </c>
      <c r="I941" s="10">
        <f t="shared" si="129"/>
        <v>300</v>
      </c>
      <c r="J941" s="99">
        <f t="shared" si="124"/>
        <v>100</v>
      </c>
    </row>
    <row r="942" spans="1:10" ht="16.5" customHeight="1">
      <c r="A942" s="67" t="s">
        <v>469</v>
      </c>
      <c r="B942" s="26" t="s">
        <v>46</v>
      </c>
      <c r="C942" s="26" t="s">
        <v>386</v>
      </c>
      <c r="D942" s="26" t="s">
        <v>379</v>
      </c>
      <c r="E942" s="26" t="s">
        <v>311</v>
      </c>
      <c r="F942" s="28"/>
      <c r="G942" s="10">
        <f t="shared" si="129"/>
        <v>0</v>
      </c>
      <c r="H942" s="10">
        <f t="shared" si="129"/>
        <v>300</v>
      </c>
      <c r="I942" s="10">
        <f t="shared" si="129"/>
        <v>300</v>
      </c>
      <c r="J942" s="99">
        <f t="shared" si="124"/>
        <v>100</v>
      </c>
    </row>
    <row r="943" spans="1:10" ht="16.5" customHeight="1">
      <c r="A943" s="64" t="s">
        <v>232</v>
      </c>
      <c r="B943" s="26" t="s">
        <v>46</v>
      </c>
      <c r="C943" s="26" t="s">
        <v>386</v>
      </c>
      <c r="D943" s="26" t="s">
        <v>379</v>
      </c>
      <c r="E943" s="26" t="s">
        <v>312</v>
      </c>
      <c r="F943" s="28" t="s">
        <v>234</v>
      </c>
      <c r="G943" s="10">
        <v>0</v>
      </c>
      <c r="H943" s="10">
        <v>300</v>
      </c>
      <c r="I943" s="10">
        <v>300</v>
      </c>
      <c r="J943" s="99">
        <f t="shared" si="124"/>
        <v>100</v>
      </c>
    </row>
    <row r="944" spans="1:10" ht="16.5" customHeight="1">
      <c r="A944" s="31" t="s">
        <v>358</v>
      </c>
      <c r="B944" s="20" t="s">
        <v>46</v>
      </c>
      <c r="C944" s="20" t="s">
        <v>386</v>
      </c>
      <c r="D944" s="20" t="s">
        <v>379</v>
      </c>
      <c r="E944" s="19" t="s">
        <v>275</v>
      </c>
      <c r="F944" s="21"/>
      <c r="G944" s="10">
        <f>G947+G945</f>
        <v>324285</v>
      </c>
      <c r="H944" s="10">
        <f>H947+H945</f>
        <v>324285</v>
      </c>
      <c r="I944" s="10">
        <f>I947+I945</f>
        <v>324273</v>
      </c>
      <c r="J944" s="99">
        <f t="shared" si="124"/>
        <v>99.9962995513206</v>
      </c>
    </row>
    <row r="945" spans="1:10" ht="16.5" customHeight="1">
      <c r="A945" s="31" t="s">
        <v>103</v>
      </c>
      <c r="B945" s="20" t="s">
        <v>46</v>
      </c>
      <c r="C945" s="20" t="s">
        <v>386</v>
      </c>
      <c r="D945" s="20" t="s">
        <v>379</v>
      </c>
      <c r="E945" s="19" t="s">
        <v>104</v>
      </c>
      <c r="F945" s="21"/>
      <c r="G945" s="10">
        <f>G946</f>
        <v>187880</v>
      </c>
      <c r="H945" s="10">
        <f>H946</f>
        <v>187880</v>
      </c>
      <c r="I945" s="10">
        <f>I946</f>
        <v>187880</v>
      </c>
      <c r="J945" s="99">
        <f t="shared" si="124"/>
        <v>100</v>
      </c>
    </row>
    <row r="946" spans="1:10" ht="16.5" customHeight="1">
      <c r="A946" s="64" t="s">
        <v>232</v>
      </c>
      <c r="B946" s="20" t="s">
        <v>46</v>
      </c>
      <c r="C946" s="20" t="s">
        <v>386</v>
      </c>
      <c r="D946" s="20" t="s">
        <v>379</v>
      </c>
      <c r="E946" s="19" t="s">
        <v>104</v>
      </c>
      <c r="F946" s="21" t="s">
        <v>234</v>
      </c>
      <c r="G946" s="10">
        <f>8868+89435+44915+44662</f>
        <v>187880</v>
      </c>
      <c r="H946" s="10">
        <f>8868+89435+44915+44662</f>
        <v>187880</v>
      </c>
      <c r="I946" s="10">
        <f>8868+89435+44915+44662</f>
        <v>187880</v>
      </c>
      <c r="J946" s="99">
        <f t="shared" si="124"/>
        <v>100</v>
      </c>
    </row>
    <row r="947" spans="1:10" ht="16.5" customHeight="1">
      <c r="A947" s="8" t="s">
        <v>359</v>
      </c>
      <c r="B947" s="20" t="s">
        <v>46</v>
      </c>
      <c r="C947" s="20" t="s">
        <v>386</v>
      </c>
      <c r="D947" s="20" t="s">
        <v>379</v>
      </c>
      <c r="E947" s="19" t="s">
        <v>276</v>
      </c>
      <c r="F947" s="21"/>
      <c r="G947" s="10">
        <f>G948</f>
        <v>136405</v>
      </c>
      <c r="H947" s="10">
        <f>H948</f>
        <v>136405</v>
      </c>
      <c r="I947" s="10">
        <f>I948</f>
        <v>136393</v>
      </c>
      <c r="J947" s="99">
        <f t="shared" si="124"/>
        <v>99.99120266852388</v>
      </c>
    </row>
    <row r="948" spans="1:10" ht="16.5" customHeight="1">
      <c r="A948" s="64" t="s">
        <v>232</v>
      </c>
      <c r="B948" s="20" t="s">
        <v>46</v>
      </c>
      <c r="C948" s="20" t="s">
        <v>386</v>
      </c>
      <c r="D948" s="20" t="s">
        <v>379</v>
      </c>
      <c r="E948" s="19" t="s">
        <v>276</v>
      </c>
      <c r="F948" s="21" t="s">
        <v>234</v>
      </c>
      <c r="G948" s="10">
        <f>163028-25147-5521+766+766+2513</f>
        <v>136405</v>
      </c>
      <c r="H948" s="10">
        <f>163028-25147-5521+766+766+2513</f>
        <v>136405</v>
      </c>
      <c r="I948" s="10">
        <v>136393</v>
      </c>
      <c r="J948" s="99">
        <f t="shared" si="124"/>
        <v>99.99120266852388</v>
      </c>
    </row>
    <row r="949" spans="1:10" ht="16.5" customHeight="1">
      <c r="A949" s="31" t="s">
        <v>361</v>
      </c>
      <c r="B949" s="20" t="s">
        <v>46</v>
      </c>
      <c r="C949" s="20" t="s">
        <v>386</v>
      </c>
      <c r="D949" s="20" t="s">
        <v>379</v>
      </c>
      <c r="E949" s="19" t="s">
        <v>277</v>
      </c>
      <c r="F949" s="21"/>
      <c r="G949" s="10">
        <f aca="true" t="shared" si="130" ref="G949:I950">G950</f>
        <v>18105</v>
      </c>
      <c r="H949" s="10">
        <f t="shared" si="130"/>
        <v>18105</v>
      </c>
      <c r="I949" s="10">
        <f t="shared" si="130"/>
        <v>18105</v>
      </c>
      <c r="J949" s="99">
        <f t="shared" si="124"/>
        <v>100</v>
      </c>
    </row>
    <row r="950" spans="1:10" ht="16.5" customHeight="1">
      <c r="A950" s="8" t="s">
        <v>359</v>
      </c>
      <c r="B950" s="20" t="s">
        <v>46</v>
      </c>
      <c r="C950" s="20" t="s">
        <v>386</v>
      </c>
      <c r="D950" s="20" t="s">
        <v>379</v>
      </c>
      <c r="E950" s="19" t="s">
        <v>278</v>
      </c>
      <c r="F950" s="21"/>
      <c r="G950" s="10">
        <f t="shared" si="130"/>
        <v>18105</v>
      </c>
      <c r="H950" s="10">
        <f t="shared" si="130"/>
        <v>18105</v>
      </c>
      <c r="I950" s="10">
        <f t="shared" si="130"/>
        <v>18105</v>
      </c>
      <c r="J950" s="99">
        <f t="shared" si="124"/>
        <v>100</v>
      </c>
    </row>
    <row r="951" spans="1:10" ht="16.5" customHeight="1">
      <c r="A951" s="64" t="s">
        <v>232</v>
      </c>
      <c r="B951" s="20" t="s">
        <v>46</v>
      </c>
      <c r="C951" s="20" t="s">
        <v>386</v>
      </c>
      <c r="D951" s="20" t="s">
        <v>379</v>
      </c>
      <c r="E951" s="19" t="s">
        <v>278</v>
      </c>
      <c r="F951" s="21" t="s">
        <v>234</v>
      </c>
      <c r="G951" s="10">
        <f>21898-4808+15+1000</f>
        <v>18105</v>
      </c>
      <c r="H951" s="10">
        <f>21898-4808+15+1000</f>
        <v>18105</v>
      </c>
      <c r="I951" s="10">
        <f>21898-4808+15+1000</f>
        <v>18105</v>
      </c>
      <c r="J951" s="99">
        <f t="shared" si="124"/>
        <v>100</v>
      </c>
    </row>
    <row r="952" spans="1:10" ht="16.5" customHeight="1">
      <c r="A952" s="64" t="s">
        <v>29</v>
      </c>
      <c r="B952" s="20" t="s">
        <v>46</v>
      </c>
      <c r="C952" s="26" t="s">
        <v>386</v>
      </c>
      <c r="D952" s="26" t="s">
        <v>379</v>
      </c>
      <c r="E952" s="27" t="s">
        <v>32</v>
      </c>
      <c r="F952" s="28"/>
      <c r="G952" s="10">
        <f aca="true" t="shared" si="131" ref="G952:I953">G953</f>
        <v>131</v>
      </c>
      <c r="H952" s="10">
        <f t="shared" si="131"/>
        <v>131</v>
      </c>
      <c r="I952" s="10">
        <f t="shared" si="131"/>
        <v>12</v>
      </c>
      <c r="J952" s="99">
        <f t="shared" si="124"/>
        <v>9.16030534351145</v>
      </c>
    </row>
    <row r="953" spans="1:10" ht="49.5" customHeight="1">
      <c r="A953" s="64" t="s">
        <v>30</v>
      </c>
      <c r="B953" s="20" t="s">
        <v>46</v>
      </c>
      <c r="C953" s="26" t="s">
        <v>386</v>
      </c>
      <c r="D953" s="26" t="s">
        <v>379</v>
      </c>
      <c r="E953" s="27" t="s">
        <v>33</v>
      </c>
      <c r="F953" s="28"/>
      <c r="G953" s="10">
        <f t="shared" si="131"/>
        <v>131</v>
      </c>
      <c r="H953" s="10">
        <f t="shared" si="131"/>
        <v>131</v>
      </c>
      <c r="I953" s="10">
        <f t="shared" si="131"/>
        <v>12</v>
      </c>
      <c r="J953" s="99">
        <f t="shared" si="124"/>
        <v>9.16030534351145</v>
      </c>
    </row>
    <row r="954" spans="1:10" ht="16.5" customHeight="1">
      <c r="A954" s="64" t="s">
        <v>232</v>
      </c>
      <c r="B954" s="20" t="s">
        <v>46</v>
      </c>
      <c r="C954" s="26" t="s">
        <v>386</v>
      </c>
      <c r="D954" s="26" t="s">
        <v>379</v>
      </c>
      <c r="E954" s="27" t="s">
        <v>33</v>
      </c>
      <c r="F954" s="28" t="s">
        <v>234</v>
      </c>
      <c r="G954" s="10">
        <v>131</v>
      </c>
      <c r="H954" s="10">
        <v>131</v>
      </c>
      <c r="I954" s="10">
        <v>12</v>
      </c>
      <c r="J954" s="99">
        <f t="shared" si="124"/>
        <v>9.16030534351145</v>
      </c>
    </row>
    <row r="955" spans="1:10" ht="16.5" customHeight="1">
      <c r="A955" s="64" t="s">
        <v>7</v>
      </c>
      <c r="B955" s="20" t="s">
        <v>46</v>
      </c>
      <c r="C955" s="26" t="s">
        <v>386</v>
      </c>
      <c r="D955" s="26" t="s">
        <v>379</v>
      </c>
      <c r="E955" s="27" t="s">
        <v>9</v>
      </c>
      <c r="F955" s="28"/>
      <c r="G955" s="9">
        <f>G958+G956</f>
        <v>39258</v>
      </c>
      <c r="H955" s="9">
        <f>H958+H956</f>
        <v>39258</v>
      </c>
      <c r="I955" s="9">
        <f>I958+I956</f>
        <v>39252</v>
      </c>
      <c r="J955" s="99">
        <f t="shared" si="124"/>
        <v>99.98471649090631</v>
      </c>
    </row>
    <row r="956" spans="1:10" ht="49.5" customHeight="1">
      <c r="A956" s="64" t="s">
        <v>31</v>
      </c>
      <c r="B956" s="20" t="s">
        <v>46</v>
      </c>
      <c r="C956" s="26" t="s">
        <v>386</v>
      </c>
      <c r="D956" s="26" t="s">
        <v>379</v>
      </c>
      <c r="E956" s="27" t="s">
        <v>34</v>
      </c>
      <c r="F956" s="28"/>
      <c r="G956" s="9">
        <f>G957</f>
        <v>7</v>
      </c>
      <c r="H956" s="9">
        <f>H957</f>
        <v>7</v>
      </c>
      <c r="I956" s="9">
        <f>I957</f>
        <v>1</v>
      </c>
      <c r="J956" s="99">
        <f t="shared" si="124"/>
        <v>14.285714285714285</v>
      </c>
    </row>
    <row r="957" spans="1:10" ht="16.5" customHeight="1">
      <c r="A957" s="64" t="s">
        <v>232</v>
      </c>
      <c r="B957" s="20" t="s">
        <v>46</v>
      </c>
      <c r="C957" s="26" t="s">
        <v>386</v>
      </c>
      <c r="D957" s="26" t="s">
        <v>379</v>
      </c>
      <c r="E957" s="27" t="s">
        <v>34</v>
      </c>
      <c r="F957" s="28" t="s">
        <v>234</v>
      </c>
      <c r="G957" s="9">
        <v>7</v>
      </c>
      <c r="H957" s="9">
        <v>7</v>
      </c>
      <c r="I957" s="9">
        <v>1</v>
      </c>
      <c r="J957" s="99">
        <f t="shared" si="124"/>
        <v>14.285714285714285</v>
      </c>
    </row>
    <row r="958" spans="1:10" ht="49.5" customHeight="1">
      <c r="A958" s="64" t="s">
        <v>191</v>
      </c>
      <c r="B958" s="20" t="s">
        <v>46</v>
      </c>
      <c r="C958" s="26" t="s">
        <v>386</v>
      </c>
      <c r="D958" s="26" t="s">
        <v>379</v>
      </c>
      <c r="E958" s="27" t="s">
        <v>192</v>
      </c>
      <c r="F958" s="28"/>
      <c r="G958" s="9">
        <f>G959</f>
        <v>39251</v>
      </c>
      <c r="H958" s="9">
        <f>H959</f>
        <v>39251</v>
      </c>
      <c r="I958" s="9">
        <f>I959</f>
        <v>39251</v>
      </c>
      <c r="J958" s="99">
        <f t="shared" si="124"/>
        <v>100</v>
      </c>
    </row>
    <row r="959" spans="1:10" ht="16.5" customHeight="1">
      <c r="A959" s="64" t="s">
        <v>232</v>
      </c>
      <c r="B959" s="20" t="s">
        <v>46</v>
      </c>
      <c r="C959" s="26" t="s">
        <v>386</v>
      </c>
      <c r="D959" s="26" t="s">
        <v>379</v>
      </c>
      <c r="E959" s="27" t="s">
        <v>192</v>
      </c>
      <c r="F959" s="28" t="s">
        <v>234</v>
      </c>
      <c r="G959" s="9">
        <f>39274-23</f>
        <v>39251</v>
      </c>
      <c r="H959" s="9">
        <f>39274-23</f>
        <v>39251</v>
      </c>
      <c r="I959" s="9">
        <f>39274-23</f>
        <v>39251</v>
      </c>
      <c r="J959" s="99">
        <f t="shared" si="124"/>
        <v>100</v>
      </c>
    </row>
    <row r="960" spans="1:10" ht="12" customHeight="1">
      <c r="A960" s="64"/>
      <c r="B960" s="26"/>
      <c r="C960" s="26"/>
      <c r="D960" s="26"/>
      <c r="E960" s="27"/>
      <c r="F960" s="28"/>
      <c r="G960" s="10"/>
      <c r="H960" s="10"/>
      <c r="I960" s="10"/>
      <c r="J960" s="99"/>
    </row>
    <row r="961" spans="1:10" ht="16.5" customHeight="1">
      <c r="A961" s="59" t="s">
        <v>251</v>
      </c>
      <c r="B961" s="20" t="s">
        <v>46</v>
      </c>
      <c r="C961" s="20" t="s">
        <v>386</v>
      </c>
      <c r="D961" s="20" t="s">
        <v>380</v>
      </c>
      <c r="E961" s="19"/>
      <c r="F961" s="21"/>
      <c r="G961" s="10">
        <f>G966+G969+G972+G975+G978+G962</f>
        <v>90353</v>
      </c>
      <c r="H961" s="10">
        <f>H966+H969+H972+H975+H978+H962</f>
        <v>92716</v>
      </c>
      <c r="I961" s="10">
        <f>I966+I969+I972+I975+I978+I962</f>
        <v>92508</v>
      </c>
      <c r="J961" s="99">
        <f t="shared" si="124"/>
        <v>99.77565900168256</v>
      </c>
    </row>
    <row r="962" spans="1:10" ht="16.5" customHeight="1">
      <c r="A962" s="31" t="s">
        <v>371</v>
      </c>
      <c r="B962" s="26" t="s">
        <v>46</v>
      </c>
      <c r="C962" s="26" t="s">
        <v>386</v>
      </c>
      <c r="D962" s="26" t="s">
        <v>380</v>
      </c>
      <c r="E962" s="26" t="s">
        <v>427</v>
      </c>
      <c r="F962" s="28"/>
      <c r="G962" s="10">
        <f aca="true" t="shared" si="132" ref="G962:I964">G963</f>
        <v>0</v>
      </c>
      <c r="H962" s="10">
        <f t="shared" si="132"/>
        <v>2363</v>
      </c>
      <c r="I962" s="10">
        <f t="shared" si="132"/>
        <v>2363</v>
      </c>
      <c r="J962" s="99">
        <f t="shared" si="124"/>
        <v>100</v>
      </c>
    </row>
    <row r="963" spans="1:10" ht="16.5" customHeight="1">
      <c r="A963" s="8" t="s">
        <v>426</v>
      </c>
      <c r="B963" s="26" t="s">
        <v>46</v>
      </c>
      <c r="C963" s="26" t="s">
        <v>386</v>
      </c>
      <c r="D963" s="26" t="s">
        <v>380</v>
      </c>
      <c r="E963" s="26" t="s">
        <v>428</v>
      </c>
      <c r="F963" s="28"/>
      <c r="G963" s="10">
        <f t="shared" si="132"/>
        <v>0</v>
      </c>
      <c r="H963" s="10">
        <f t="shared" si="132"/>
        <v>2363</v>
      </c>
      <c r="I963" s="10">
        <f t="shared" si="132"/>
        <v>2363</v>
      </c>
      <c r="J963" s="99">
        <f t="shared" si="124"/>
        <v>100</v>
      </c>
    </row>
    <row r="964" spans="1:10" ht="16.5" customHeight="1">
      <c r="A964" s="67" t="s">
        <v>469</v>
      </c>
      <c r="B964" s="26" t="s">
        <v>46</v>
      </c>
      <c r="C964" s="26" t="s">
        <v>386</v>
      </c>
      <c r="D964" s="26" t="s">
        <v>380</v>
      </c>
      <c r="E964" s="26" t="s">
        <v>311</v>
      </c>
      <c r="F964" s="28"/>
      <c r="G964" s="10">
        <f t="shared" si="132"/>
        <v>0</v>
      </c>
      <c r="H964" s="10">
        <f t="shared" si="132"/>
        <v>2363</v>
      </c>
      <c r="I964" s="10">
        <f t="shared" si="132"/>
        <v>2363</v>
      </c>
      <c r="J964" s="99">
        <f t="shared" si="124"/>
        <v>100</v>
      </c>
    </row>
    <row r="965" spans="1:10" ht="16.5" customHeight="1">
      <c r="A965" s="64" t="s">
        <v>232</v>
      </c>
      <c r="B965" s="26" t="s">
        <v>46</v>
      </c>
      <c r="C965" s="26" t="s">
        <v>386</v>
      </c>
      <c r="D965" s="26" t="s">
        <v>380</v>
      </c>
      <c r="E965" s="26" t="s">
        <v>312</v>
      </c>
      <c r="F965" s="28" t="s">
        <v>234</v>
      </c>
      <c r="G965" s="10">
        <v>0</v>
      </c>
      <c r="H965" s="10">
        <v>2363</v>
      </c>
      <c r="I965" s="10">
        <v>2363</v>
      </c>
      <c r="J965" s="99">
        <f t="shared" si="124"/>
        <v>100</v>
      </c>
    </row>
    <row r="966" spans="1:10" ht="16.5" customHeight="1">
      <c r="A966" s="31" t="s">
        <v>358</v>
      </c>
      <c r="B966" s="20" t="s">
        <v>46</v>
      </c>
      <c r="C966" s="20" t="s">
        <v>386</v>
      </c>
      <c r="D966" s="20" t="s">
        <v>380</v>
      </c>
      <c r="E966" s="19" t="s">
        <v>275</v>
      </c>
      <c r="F966" s="21"/>
      <c r="G966" s="10">
        <f aca="true" t="shared" si="133" ref="G966:I967">G967</f>
        <v>36094</v>
      </c>
      <c r="H966" s="10">
        <f t="shared" si="133"/>
        <v>36094</v>
      </c>
      <c r="I966" s="10">
        <f t="shared" si="133"/>
        <v>36043</v>
      </c>
      <c r="J966" s="99">
        <f t="shared" si="124"/>
        <v>99.85870227738683</v>
      </c>
    </row>
    <row r="967" spans="1:10" ht="16.5" customHeight="1">
      <c r="A967" s="8" t="s">
        <v>359</v>
      </c>
      <c r="B967" s="20" t="s">
        <v>46</v>
      </c>
      <c r="C967" s="20" t="s">
        <v>386</v>
      </c>
      <c r="D967" s="20" t="s">
        <v>380</v>
      </c>
      <c r="E967" s="19" t="s">
        <v>276</v>
      </c>
      <c r="F967" s="21"/>
      <c r="G967" s="10">
        <f t="shared" si="133"/>
        <v>36094</v>
      </c>
      <c r="H967" s="10">
        <f t="shared" si="133"/>
        <v>36094</v>
      </c>
      <c r="I967" s="10">
        <f t="shared" si="133"/>
        <v>36043</v>
      </c>
      <c r="J967" s="99">
        <f t="shared" si="124"/>
        <v>99.85870227738683</v>
      </c>
    </row>
    <row r="968" spans="1:10" ht="16.5" customHeight="1">
      <c r="A968" s="64" t="s">
        <v>232</v>
      </c>
      <c r="B968" s="20" t="s">
        <v>46</v>
      </c>
      <c r="C968" s="20" t="s">
        <v>386</v>
      </c>
      <c r="D968" s="20" t="s">
        <v>380</v>
      </c>
      <c r="E968" s="19" t="s">
        <v>276</v>
      </c>
      <c r="F968" s="21" t="s">
        <v>234</v>
      </c>
      <c r="G968" s="10">
        <f>36855+485-566+5-685</f>
        <v>36094</v>
      </c>
      <c r="H968" s="10">
        <f>36855+485-566+5-685</f>
        <v>36094</v>
      </c>
      <c r="I968" s="10">
        <v>36043</v>
      </c>
      <c r="J968" s="99">
        <f t="shared" si="124"/>
        <v>99.85870227738683</v>
      </c>
    </row>
    <row r="969" spans="1:10" ht="16.5" customHeight="1">
      <c r="A969" s="31" t="s">
        <v>360</v>
      </c>
      <c r="B969" s="20" t="s">
        <v>46</v>
      </c>
      <c r="C969" s="26" t="s">
        <v>386</v>
      </c>
      <c r="D969" s="20" t="s">
        <v>380</v>
      </c>
      <c r="E969" s="27" t="s">
        <v>279</v>
      </c>
      <c r="F969" s="28"/>
      <c r="G969" s="10">
        <f aca="true" t="shared" si="134" ref="G969:I970">G970</f>
        <v>50927</v>
      </c>
      <c r="H969" s="10">
        <f t="shared" si="134"/>
        <v>50927</v>
      </c>
      <c r="I969" s="10">
        <f t="shared" si="134"/>
        <v>50882</v>
      </c>
      <c r="J969" s="99">
        <f t="shared" si="124"/>
        <v>99.91163822726648</v>
      </c>
    </row>
    <row r="970" spans="1:10" ht="16.5" customHeight="1">
      <c r="A970" s="8" t="s">
        <v>359</v>
      </c>
      <c r="B970" s="20" t="s">
        <v>46</v>
      </c>
      <c r="C970" s="26" t="s">
        <v>386</v>
      </c>
      <c r="D970" s="20" t="s">
        <v>380</v>
      </c>
      <c r="E970" s="71" t="s">
        <v>280</v>
      </c>
      <c r="F970" s="28"/>
      <c r="G970" s="10">
        <f t="shared" si="134"/>
        <v>50927</v>
      </c>
      <c r="H970" s="10">
        <f t="shared" si="134"/>
        <v>50927</v>
      </c>
      <c r="I970" s="10">
        <f t="shared" si="134"/>
        <v>50882</v>
      </c>
      <c r="J970" s="99">
        <f t="shared" si="124"/>
        <v>99.91163822726648</v>
      </c>
    </row>
    <row r="971" spans="1:10" ht="16.5" customHeight="1">
      <c r="A971" s="64" t="s">
        <v>232</v>
      </c>
      <c r="B971" s="20" t="s">
        <v>46</v>
      </c>
      <c r="C971" s="26" t="s">
        <v>386</v>
      </c>
      <c r="D971" s="20" t="s">
        <v>380</v>
      </c>
      <c r="E971" s="27" t="s">
        <v>280</v>
      </c>
      <c r="F971" s="28" t="s">
        <v>234</v>
      </c>
      <c r="G971" s="10">
        <f>69071-18775-29+660</f>
        <v>50927</v>
      </c>
      <c r="H971" s="10">
        <f>69071-18775-29+660</f>
        <v>50927</v>
      </c>
      <c r="I971" s="10">
        <v>50882</v>
      </c>
      <c r="J971" s="99">
        <f t="shared" si="124"/>
        <v>99.91163822726648</v>
      </c>
    </row>
    <row r="972" spans="1:10" ht="16.5" customHeight="1">
      <c r="A972" s="31" t="s">
        <v>361</v>
      </c>
      <c r="B972" s="20" t="s">
        <v>46</v>
      </c>
      <c r="C972" s="26" t="s">
        <v>386</v>
      </c>
      <c r="D972" s="20" t="s">
        <v>380</v>
      </c>
      <c r="E972" s="19" t="s">
        <v>277</v>
      </c>
      <c r="F972" s="21"/>
      <c r="G972" s="10">
        <f aca="true" t="shared" si="135" ref="G972:I973">G973</f>
        <v>3221</v>
      </c>
      <c r="H972" s="10">
        <f t="shared" si="135"/>
        <v>3221</v>
      </c>
      <c r="I972" s="10">
        <f t="shared" si="135"/>
        <v>3220</v>
      </c>
      <c r="J972" s="99">
        <f t="shared" si="124"/>
        <v>99.9689537410742</v>
      </c>
    </row>
    <row r="973" spans="1:10" ht="16.5" customHeight="1">
      <c r="A973" s="8" t="s">
        <v>359</v>
      </c>
      <c r="B973" s="20" t="s">
        <v>46</v>
      </c>
      <c r="C973" s="26" t="s">
        <v>386</v>
      </c>
      <c r="D973" s="20" t="s">
        <v>380</v>
      </c>
      <c r="E973" s="19" t="s">
        <v>278</v>
      </c>
      <c r="F973" s="21"/>
      <c r="G973" s="10">
        <f t="shared" si="135"/>
        <v>3221</v>
      </c>
      <c r="H973" s="10">
        <f t="shared" si="135"/>
        <v>3221</v>
      </c>
      <c r="I973" s="10">
        <f t="shared" si="135"/>
        <v>3220</v>
      </c>
      <c r="J973" s="99">
        <f aca="true" t="shared" si="136" ref="J973:J1036">I973/H973*100</f>
        <v>99.9689537410742</v>
      </c>
    </row>
    <row r="974" spans="1:10" ht="16.5" customHeight="1">
      <c r="A974" s="64" t="s">
        <v>232</v>
      </c>
      <c r="B974" s="20" t="s">
        <v>46</v>
      </c>
      <c r="C974" s="26" t="s">
        <v>386</v>
      </c>
      <c r="D974" s="20" t="s">
        <v>380</v>
      </c>
      <c r="E974" s="19" t="s">
        <v>278</v>
      </c>
      <c r="F974" s="21" t="s">
        <v>234</v>
      </c>
      <c r="G974" s="10">
        <v>3221</v>
      </c>
      <c r="H974" s="10">
        <v>3221</v>
      </c>
      <c r="I974" s="10">
        <v>3220</v>
      </c>
      <c r="J974" s="99">
        <f t="shared" si="136"/>
        <v>99.9689537410742</v>
      </c>
    </row>
    <row r="975" spans="1:10" ht="16.5" customHeight="1">
      <c r="A975" s="64" t="s">
        <v>29</v>
      </c>
      <c r="B975" s="20" t="s">
        <v>46</v>
      </c>
      <c r="C975" s="26" t="s">
        <v>386</v>
      </c>
      <c r="D975" s="20" t="s">
        <v>380</v>
      </c>
      <c r="E975" s="27" t="s">
        <v>32</v>
      </c>
      <c r="F975" s="28"/>
      <c r="G975" s="10">
        <f aca="true" t="shared" si="137" ref="G975:I976">G976</f>
        <v>106</v>
      </c>
      <c r="H975" s="10">
        <f t="shared" si="137"/>
        <v>106</v>
      </c>
      <c r="I975" s="10">
        <f t="shared" si="137"/>
        <v>0</v>
      </c>
      <c r="J975" s="99">
        <f t="shared" si="136"/>
        <v>0</v>
      </c>
    </row>
    <row r="976" spans="1:10" ht="49.5" customHeight="1">
      <c r="A976" s="64" t="s">
        <v>30</v>
      </c>
      <c r="B976" s="20" t="s">
        <v>46</v>
      </c>
      <c r="C976" s="26" t="s">
        <v>386</v>
      </c>
      <c r="D976" s="20" t="s">
        <v>380</v>
      </c>
      <c r="E976" s="27" t="s">
        <v>33</v>
      </c>
      <c r="F976" s="28"/>
      <c r="G976" s="10">
        <f t="shared" si="137"/>
        <v>106</v>
      </c>
      <c r="H976" s="10">
        <f t="shared" si="137"/>
        <v>106</v>
      </c>
      <c r="I976" s="10">
        <f t="shared" si="137"/>
        <v>0</v>
      </c>
      <c r="J976" s="99">
        <f t="shared" si="136"/>
        <v>0</v>
      </c>
    </row>
    <row r="977" spans="1:10" ht="16.5" customHeight="1">
      <c r="A977" s="64" t="s">
        <v>232</v>
      </c>
      <c r="B977" s="20" t="s">
        <v>46</v>
      </c>
      <c r="C977" s="26" t="s">
        <v>386</v>
      </c>
      <c r="D977" s="20" t="s">
        <v>380</v>
      </c>
      <c r="E977" s="27" t="s">
        <v>33</v>
      </c>
      <c r="F977" s="28" t="s">
        <v>234</v>
      </c>
      <c r="G977" s="10">
        <v>106</v>
      </c>
      <c r="H977" s="10">
        <v>106</v>
      </c>
      <c r="I977" s="10">
        <v>0</v>
      </c>
      <c r="J977" s="99">
        <f t="shared" si="136"/>
        <v>0</v>
      </c>
    </row>
    <row r="978" spans="1:10" ht="16.5" customHeight="1">
      <c r="A978" s="64" t="s">
        <v>7</v>
      </c>
      <c r="B978" s="20" t="s">
        <v>46</v>
      </c>
      <c r="C978" s="26" t="s">
        <v>386</v>
      </c>
      <c r="D978" s="20" t="s">
        <v>380</v>
      </c>
      <c r="E978" s="27" t="s">
        <v>9</v>
      </c>
      <c r="F978" s="28"/>
      <c r="G978" s="10">
        <f aca="true" t="shared" si="138" ref="G978:I979">G979</f>
        <v>5</v>
      </c>
      <c r="H978" s="10">
        <f t="shared" si="138"/>
        <v>5</v>
      </c>
      <c r="I978" s="10">
        <f t="shared" si="138"/>
        <v>0</v>
      </c>
      <c r="J978" s="99">
        <f t="shared" si="136"/>
        <v>0</v>
      </c>
    </row>
    <row r="979" spans="1:10" ht="49.5" customHeight="1">
      <c r="A979" s="64" t="s">
        <v>31</v>
      </c>
      <c r="B979" s="20" t="s">
        <v>46</v>
      </c>
      <c r="C979" s="26" t="s">
        <v>386</v>
      </c>
      <c r="D979" s="20" t="s">
        <v>380</v>
      </c>
      <c r="E979" s="27" t="s">
        <v>34</v>
      </c>
      <c r="F979" s="28"/>
      <c r="G979" s="10">
        <f t="shared" si="138"/>
        <v>5</v>
      </c>
      <c r="H979" s="10">
        <f t="shared" si="138"/>
        <v>5</v>
      </c>
      <c r="I979" s="10">
        <f t="shared" si="138"/>
        <v>0</v>
      </c>
      <c r="J979" s="99">
        <f t="shared" si="136"/>
        <v>0</v>
      </c>
    </row>
    <row r="980" spans="1:10" ht="16.5" customHeight="1">
      <c r="A980" s="64" t="s">
        <v>232</v>
      </c>
      <c r="B980" s="20" t="s">
        <v>46</v>
      </c>
      <c r="C980" s="26" t="s">
        <v>386</v>
      </c>
      <c r="D980" s="20" t="s">
        <v>380</v>
      </c>
      <c r="E980" s="27" t="s">
        <v>34</v>
      </c>
      <c r="F980" s="28" t="s">
        <v>234</v>
      </c>
      <c r="G980" s="10">
        <v>5</v>
      </c>
      <c r="H980" s="10">
        <v>5</v>
      </c>
      <c r="I980" s="10">
        <v>0</v>
      </c>
      <c r="J980" s="99">
        <f t="shared" si="136"/>
        <v>0</v>
      </c>
    </row>
    <row r="981" spans="1:10" ht="12" customHeight="1">
      <c r="A981" s="64"/>
      <c r="B981" s="20"/>
      <c r="C981" s="26"/>
      <c r="D981" s="20"/>
      <c r="E981" s="19"/>
      <c r="F981" s="21"/>
      <c r="G981" s="10"/>
      <c r="H981" s="10"/>
      <c r="I981" s="10"/>
      <c r="J981" s="99"/>
    </row>
    <row r="982" spans="1:10" ht="16.5" customHeight="1">
      <c r="A982" s="64" t="s">
        <v>48</v>
      </c>
      <c r="B982" s="20" t="s">
        <v>46</v>
      </c>
      <c r="C982" s="20" t="s">
        <v>386</v>
      </c>
      <c r="D982" s="20" t="s">
        <v>381</v>
      </c>
      <c r="E982" s="19"/>
      <c r="F982" s="21"/>
      <c r="G982" s="10">
        <f>G983+G986+G989</f>
        <v>11277</v>
      </c>
      <c r="H982" s="10">
        <f>H983+H986+H989</f>
        <v>11277</v>
      </c>
      <c r="I982" s="10">
        <f>I983+I986+I989</f>
        <v>11277</v>
      </c>
      <c r="J982" s="99">
        <f t="shared" si="136"/>
        <v>100</v>
      </c>
    </row>
    <row r="983" spans="1:10" ht="16.5" customHeight="1">
      <c r="A983" s="31" t="s">
        <v>358</v>
      </c>
      <c r="B983" s="20" t="s">
        <v>46</v>
      </c>
      <c r="C983" s="20" t="s">
        <v>386</v>
      </c>
      <c r="D983" s="20" t="s">
        <v>381</v>
      </c>
      <c r="E983" s="19" t="s">
        <v>275</v>
      </c>
      <c r="F983" s="21"/>
      <c r="G983" s="10">
        <f aca="true" t="shared" si="139" ref="G983:I984">G984</f>
        <v>5672</v>
      </c>
      <c r="H983" s="10">
        <f t="shared" si="139"/>
        <v>5672</v>
      </c>
      <c r="I983" s="10">
        <f t="shared" si="139"/>
        <v>5672</v>
      </c>
      <c r="J983" s="99">
        <f t="shared" si="136"/>
        <v>100</v>
      </c>
    </row>
    <row r="984" spans="1:10" ht="16.5" customHeight="1">
      <c r="A984" s="8" t="s">
        <v>359</v>
      </c>
      <c r="B984" s="20" t="s">
        <v>46</v>
      </c>
      <c r="C984" s="20" t="s">
        <v>386</v>
      </c>
      <c r="D984" s="20" t="s">
        <v>381</v>
      </c>
      <c r="E984" s="19" t="s">
        <v>276</v>
      </c>
      <c r="F984" s="21"/>
      <c r="G984" s="10">
        <f t="shared" si="139"/>
        <v>5672</v>
      </c>
      <c r="H984" s="10">
        <f t="shared" si="139"/>
        <v>5672</v>
      </c>
      <c r="I984" s="10">
        <f t="shared" si="139"/>
        <v>5672</v>
      </c>
      <c r="J984" s="99">
        <f t="shared" si="136"/>
        <v>100</v>
      </c>
    </row>
    <row r="985" spans="1:10" ht="16.5" customHeight="1">
      <c r="A985" s="64" t="s">
        <v>232</v>
      </c>
      <c r="B985" s="20" t="s">
        <v>46</v>
      </c>
      <c r="C985" s="20" t="s">
        <v>386</v>
      </c>
      <c r="D985" s="20" t="s">
        <v>381</v>
      </c>
      <c r="E985" s="19" t="s">
        <v>276</v>
      </c>
      <c r="F985" s="21" t="s">
        <v>234</v>
      </c>
      <c r="G985" s="10">
        <f>6012-70-200-67-3</f>
        <v>5672</v>
      </c>
      <c r="H985" s="10">
        <f>6012-70-200-67-3</f>
        <v>5672</v>
      </c>
      <c r="I985" s="10">
        <f>6012-70-200-67-3</f>
        <v>5672</v>
      </c>
      <c r="J985" s="99">
        <f t="shared" si="136"/>
        <v>100</v>
      </c>
    </row>
    <row r="986" spans="1:10" ht="16.5" customHeight="1">
      <c r="A986" s="31" t="s">
        <v>360</v>
      </c>
      <c r="B986" s="20" t="s">
        <v>46</v>
      </c>
      <c r="C986" s="26" t="s">
        <v>386</v>
      </c>
      <c r="D986" s="20" t="s">
        <v>381</v>
      </c>
      <c r="E986" s="27" t="s">
        <v>279</v>
      </c>
      <c r="F986" s="28"/>
      <c r="G986" s="10">
        <f aca="true" t="shared" si="140" ref="G986:I987">G987</f>
        <v>5019</v>
      </c>
      <c r="H986" s="10">
        <f t="shared" si="140"/>
        <v>5019</v>
      </c>
      <c r="I986" s="10">
        <f t="shared" si="140"/>
        <v>5019</v>
      </c>
      <c r="J986" s="99">
        <f t="shared" si="136"/>
        <v>100</v>
      </c>
    </row>
    <row r="987" spans="1:10" ht="16.5" customHeight="1">
      <c r="A987" s="8" t="s">
        <v>359</v>
      </c>
      <c r="B987" s="20" t="s">
        <v>46</v>
      </c>
      <c r="C987" s="26" t="s">
        <v>386</v>
      </c>
      <c r="D987" s="20" t="s">
        <v>381</v>
      </c>
      <c r="E987" s="71" t="s">
        <v>280</v>
      </c>
      <c r="F987" s="28"/>
      <c r="G987" s="10">
        <f t="shared" si="140"/>
        <v>5019</v>
      </c>
      <c r="H987" s="10">
        <f t="shared" si="140"/>
        <v>5019</v>
      </c>
      <c r="I987" s="10">
        <f t="shared" si="140"/>
        <v>5019</v>
      </c>
      <c r="J987" s="99">
        <f t="shared" si="136"/>
        <v>100</v>
      </c>
    </row>
    <row r="988" spans="1:10" ht="16.5" customHeight="1">
      <c r="A988" s="64" t="s">
        <v>232</v>
      </c>
      <c r="B988" s="20" t="s">
        <v>46</v>
      </c>
      <c r="C988" s="26" t="s">
        <v>386</v>
      </c>
      <c r="D988" s="20" t="s">
        <v>381</v>
      </c>
      <c r="E988" s="27" t="s">
        <v>280</v>
      </c>
      <c r="F988" s="28" t="s">
        <v>234</v>
      </c>
      <c r="G988" s="10">
        <f>5319-300</f>
        <v>5019</v>
      </c>
      <c r="H988" s="10">
        <f>5319-300</f>
        <v>5019</v>
      </c>
      <c r="I988" s="10">
        <f>5319-300</f>
        <v>5019</v>
      </c>
      <c r="J988" s="99">
        <f t="shared" si="136"/>
        <v>100</v>
      </c>
    </row>
    <row r="989" spans="1:10" ht="16.5" customHeight="1">
      <c r="A989" s="31" t="s">
        <v>361</v>
      </c>
      <c r="B989" s="20" t="s">
        <v>46</v>
      </c>
      <c r="C989" s="26" t="s">
        <v>386</v>
      </c>
      <c r="D989" s="20" t="s">
        <v>381</v>
      </c>
      <c r="E989" s="19" t="s">
        <v>277</v>
      </c>
      <c r="F989" s="21"/>
      <c r="G989" s="10">
        <f aca="true" t="shared" si="141" ref="G989:I990">G990</f>
        <v>586</v>
      </c>
      <c r="H989" s="10">
        <f t="shared" si="141"/>
        <v>586</v>
      </c>
      <c r="I989" s="10">
        <f t="shared" si="141"/>
        <v>586</v>
      </c>
      <c r="J989" s="99">
        <f t="shared" si="136"/>
        <v>100</v>
      </c>
    </row>
    <row r="990" spans="1:10" ht="16.5" customHeight="1">
      <c r="A990" s="8" t="s">
        <v>359</v>
      </c>
      <c r="B990" s="20" t="s">
        <v>46</v>
      </c>
      <c r="C990" s="26" t="s">
        <v>386</v>
      </c>
      <c r="D990" s="20" t="s">
        <v>381</v>
      </c>
      <c r="E990" s="19" t="s">
        <v>278</v>
      </c>
      <c r="F990" s="21"/>
      <c r="G990" s="10">
        <f t="shared" si="141"/>
        <v>586</v>
      </c>
      <c r="H990" s="10">
        <f t="shared" si="141"/>
        <v>586</v>
      </c>
      <c r="I990" s="10">
        <f t="shared" si="141"/>
        <v>586</v>
      </c>
      <c r="J990" s="99">
        <f t="shared" si="136"/>
        <v>100</v>
      </c>
    </row>
    <row r="991" spans="1:10" ht="16.5" customHeight="1">
      <c r="A991" s="64" t="s">
        <v>232</v>
      </c>
      <c r="B991" s="20" t="s">
        <v>46</v>
      </c>
      <c r="C991" s="26" t="s">
        <v>386</v>
      </c>
      <c r="D991" s="20" t="s">
        <v>381</v>
      </c>
      <c r="E991" s="19" t="s">
        <v>278</v>
      </c>
      <c r="F991" s="21" t="s">
        <v>234</v>
      </c>
      <c r="G991" s="10">
        <v>586</v>
      </c>
      <c r="H991" s="10">
        <v>586</v>
      </c>
      <c r="I991" s="10">
        <v>586</v>
      </c>
      <c r="J991" s="99">
        <f t="shared" si="136"/>
        <v>100</v>
      </c>
    </row>
    <row r="992" spans="1:10" ht="12" customHeight="1">
      <c r="A992" s="64"/>
      <c r="B992" s="26"/>
      <c r="C992" s="26"/>
      <c r="D992" s="26"/>
      <c r="E992" s="27"/>
      <c r="F992" s="28"/>
      <c r="G992" s="10"/>
      <c r="H992" s="10"/>
      <c r="I992" s="10"/>
      <c r="J992" s="99"/>
    </row>
    <row r="993" spans="1:10" ht="16.5" customHeight="1">
      <c r="A993" s="59" t="s">
        <v>281</v>
      </c>
      <c r="B993" s="20" t="s">
        <v>46</v>
      </c>
      <c r="C993" s="20" t="s">
        <v>386</v>
      </c>
      <c r="D993" s="20" t="s">
        <v>382</v>
      </c>
      <c r="E993" s="19"/>
      <c r="F993" s="21"/>
      <c r="G993" s="10">
        <f>G994+G997</f>
        <v>234314</v>
      </c>
      <c r="H993" s="10">
        <f>H994+H997</f>
        <v>235696</v>
      </c>
      <c r="I993" s="10">
        <f>I994+I997</f>
        <v>226464</v>
      </c>
      <c r="J993" s="99">
        <f t="shared" si="136"/>
        <v>96.0830900821397</v>
      </c>
    </row>
    <row r="994" spans="1:10" ht="16.5" customHeight="1">
      <c r="A994" s="31" t="s">
        <v>362</v>
      </c>
      <c r="B994" s="20" t="s">
        <v>46</v>
      </c>
      <c r="C994" s="26" t="s">
        <v>386</v>
      </c>
      <c r="D994" s="20" t="s">
        <v>382</v>
      </c>
      <c r="E994" s="27" t="s">
        <v>282</v>
      </c>
      <c r="F994" s="28"/>
      <c r="G994" s="10">
        <f aca="true" t="shared" si="142" ref="G994:I995">G995</f>
        <v>190722</v>
      </c>
      <c r="H994" s="10">
        <f t="shared" si="142"/>
        <v>190722</v>
      </c>
      <c r="I994" s="10">
        <f t="shared" si="142"/>
        <v>190722</v>
      </c>
      <c r="J994" s="99">
        <f t="shared" si="136"/>
        <v>100</v>
      </c>
    </row>
    <row r="995" spans="1:10" ht="16.5" customHeight="1">
      <c r="A995" s="8" t="s">
        <v>359</v>
      </c>
      <c r="B995" s="20" t="s">
        <v>46</v>
      </c>
      <c r="C995" s="26" t="s">
        <v>386</v>
      </c>
      <c r="D995" s="20" t="s">
        <v>382</v>
      </c>
      <c r="E995" s="27" t="s">
        <v>290</v>
      </c>
      <c r="F995" s="28"/>
      <c r="G995" s="10">
        <f t="shared" si="142"/>
        <v>190722</v>
      </c>
      <c r="H995" s="10">
        <f t="shared" si="142"/>
        <v>190722</v>
      </c>
      <c r="I995" s="10">
        <f t="shared" si="142"/>
        <v>190722</v>
      </c>
      <c r="J995" s="99">
        <f t="shared" si="136"/>
        <v>100</v>
      </c>
    </row>
    <row r="996" spans="1:10" ht="16.5" customHeight="1">
      <c r="A996" s="64" t="s">
        <v>232</v>
      </c>
      <c r="B996" s="20" t="s">
        <v>46</v>
      </c>
      <c r="C996" s="26" t="s">
        <v>386</v>
      </c>
      <c r="D996" s="20" t="s">
        <v>382</v>
      </c>
      <c r="E996" s="27" t="s">
        <v>290</v>
      </c>
      <c r="F996" s="28" t="s">
        <v>234</v>
      </c>
      <c r="G996" s="10">
        <f>241038-50316</f>
        <v>190722</v>
      </c>
      <c r="H996" s="10">
        <f>241038-50316</f>
        <v>190722</v>
      </c>
      <c r="I996" s="10">
        <v>190722</v>
      </c>
      <c r="J996" s="99">
        <f t="shared" si="136"/>
        <v>100</v>
      </c>
    </row>
    <row r="997" spans="1:10" ht="16.5" customHeight="1">
      <c r="A997" s="60" t="s">
        <v>646</v>
      </c>
      <c r="B997" s="20" t="s">
        <v>46</v>
      </c>
      <c r="C997" s="26" t="s">
        <v>386</v>
      </c>
      <c r="D997" s="20" t="s">
        <v>382</v>
      </c>
      <c r="E997" s="27" t="s">
        <v>650</v>
      </c>
      <c r="F997" s="28"/>
      <c r="G997" s="10">
        <f aca="true" t="shared" si="143" ref="G997:I999">G998</f>
        <v>43592</v>
      </c>
      <c r="H997" s="10">
        <f t="shared" si="143"/>
        <v>44974</v>
      </c>
      <c r="I997" s="10">
        <f t="shared" si="143"/>
        <v>35742</v>
      </c>
      <c r="J997" s="99">
        <f t="shared" si="136"/>
        <v>79.47258415973674</v>
      </c>
    </row>
    <row r="998" spans="1:10" ht="66" customHeight="1">
      <c r="A998" s="60" t="s">
        <v>105</v>
      </c>
      <c r="B998" s="20" t="s">
        <v>46</v>
      </c>
      <c r="C998" s="26" t="s">
        <v>386</v>
      </c>
      <c r="D998" s="20" t="s">
        <v>382</v>
      </c>
      <c r="E998" s="27" t="s">
        <v>106</v>
      </c>
      <c r="F998" s="28"/>
      <c r="G998" s="10">
        <f t="shared" si="143"/>
        <v>43592</v>
      </c>
      <c r="H998" s="10">
        <f t="shared" si="143"/>
        <v>44974</v>
      </c>
      <c r="I998" s="10">
        <f t="shared" si="143"/>
        <v>35742</v>
      </c>
      <c r="J998" s="99">
        <f t="shared" si="136"/>
        <v>79.47258415973674</v>
      </c>
    </row>
    <row r="999" spans="1:10" ht="79.5" customHeight="1">
      <c r="A999" s="60" t="s">
        <v>139</v>
      </c>
      <c r="B999" s="20" t="s">
        <v>46</v>
      </c>
      <c r="C999" s="26" t="s">
        <v>386</v>
      </c>
      <c r="D999" s="20" t="s">
        <v>382</v>
      </c>
      <c r="E999" s="27" t="s">
        <v>140</v>
      </c>
      <c r="F999" s="28"/>
      <c r="G999" s="10">
        <f t="shared" si="143"/>
        <v>43592</v>
      </c>
      <c r="H999" s="10">
        <f t="shared" si="143"/>
        <v>44974</v>
      </c>
      <c r="I999" s="10">
        <f t="shared" si="143"/>
        <v>35742</v>
      </c>
      <c r="J999" s="99">
        <f t="shared" si="136"/>
        <v>79.47258415973674</v>
      </c>
    </row>
    <row r="1000" spans="1:10" ht="16.5" customHeight="1">
      <c r="A1000" s="64" t="s">
        <v>232</v>
      </c>
      <c r="B1000" s="20" t="s">
        <v>46</v>
      </c>
      <c r="C1000" s="26" t="s">
        <v>386</v>
      </c>
      <c r="D1000" s="20" t="s">
        <v>382</v>
      </c>
      <c r="E1000" s="27" t="s">
        <v>140</v>
      </c>
      <c r="F1000" s="28" t="s">
        <v>234</v>
      </c>
      <c r="G1000" s="10">
        <f>1795+7832+40873-6908</f>
        <v>43592</v>
      </c>
      <c r="H1000" s="10">
        <v>44974</v>
      </c>
      <c r="I1000" s="10">
        <v>35742</v>
      </c>
      <c r="J1000" s="99">
        <f t="shared" si="136"/>
        <v>79.47258415973674</v>
      </c>
    </row>
    <row r="1001" spans="1:10" ht="12" customHeight="1">
      <c r="A1001" s="64"/>
      <c r="B1001" s="26"/>
      <c r="C1001" s="26"/>
      <c r="D1001" s="26"/>
      <c r="E1001" s="27"/>
      <c r="F1001" s="28"/>
      <c r="G1001" s="10"/>
      <c r="H1001" s="10"/>
      <c r="I1001" s="10"/>
      <c r="J1001" s="99"/>
    </row>
    <row r="1002" spans="1:10" ht="32.25" customHeight="1">
      <c r="A1002" s="31" t="s">
        <v>253</v>
      </c>
      <c r="B1002" s="20" t="s">
        <v>46</v>
      </c>
      <c r="C1002" s="26" t="s">
        <v>386</v>
      </c>
      <c r="D1002" s="26" t="s">
        <v>387</v>
      </c>
      <c r="E1002" s="27"/>
      <c r="F1002" s="28"/>
      <c r="G1002" s="10">
        <f>G1003+G1010+G1025+G1019+G1013+G1016+G1006</f>
        <v>329373</v>
      </c>
      <c r="H1002" s="10">
        <f>H1003+H1010+H1025+H1019+H1013+H1016+H1006</f>
        <v>329823</v>
      </c>
      <c r="I1002" s="10">
        <f>I1003+I1010+I1025+I1019+I1013+I1016+I1006</f>
        <v>325933</v>
      </c>
      <c r="J1002" s="99">
        <f t="shared" si="136"/>
        <v>98.82057952295625</v>
      </c>
    </row>
    <row r="1003" spans="1:10" ht="49.5" customHeight="1">
      <c r="A1003" s="23" t="s">
        <v>231</v>
      </c>
      <c r="B1003" s="20" t="s">
        <v>46</v>
      </c>
      <c r="C1003" s="26" t="s">
        <v>386</v>
      </c>
      <c r="D1003" s="26" t="s">
        <v>387</v>
      </c>
      <c r="E1003" s="27" t="s">
        <v>233</v>
      </c>
      <c r="F1003" s="28"/>
      <c r="G1003" s="10">
        <f aca="true" t="shared" si="144" ref="G1003:I1004">G1004</f>
        <v>35103</v>
      </c>
      <c r="H1003" s="10">
        <f t="shared" si="144"/>
        <v>35103</v>
      </c>
      <c r="I1003" s="10">
        <f t="shared" si="144"/>
        <v>34794</v>
      </c>
      <c r="J1003" s="99">
        <f t="shared" si="136"/>
        <v>99.1197333561234</v>
      </c>
    </row>
    <row r="1004" spans="1:10" ht="16.5" customHeight="1">
      <c r="A1004" s="8" t="s">
        <v>364</v>
      </c>
      <c r="B1004" s="20" t="s">
        <v>46</v>
      </c>
      <c r="C1004" s="26" t="s">
        <v>386</v>
      </c>
      <c r="D1004" s="26" t="s">
        <v>387</v>
      </c>
      <c r="E1004" s="27" t="s">
        <v>441</v>
      </c>
      <c r="F1004" s="28"/>
      <c r="G1004" s="10">
        <f t="shared" si="144"/>
        <v>35103</v>
      </c>
      <c r="H1004" s="10">
        <f t="shared" si="144"/>
        <v>35103</v>
      </c>
      <c r="I1004" s="10">
        <f t="shared" si="144"/>
        <v>34794</v>
      </c>
      <c r="J1004" s="99">
        <f t="shared" si="136"/>
        <v>99.1197333561234</v>
      </c>
    </row>
    <row r="1005" spans="1:10" ht="16.5" customHeight="1">
      <c r="A1005" s="60" t="s">
        <v>419</v>
      </c>
      <c r="B1005" s="20" t="s">
        <v>46</v>
      </c>
      <c r="C1005" s="26" t="s">
        <v>386</v>
      </c>
      <c r="D1005" s="26" t="s">
        <v>387</v>
      </c>
      <c r="E1005" s="27" t="s">
        <v>441</v>
      </c>
      <c r="F1005" s="28" t="s">
        <v>420</v>
      </c>
      <c r="G1005" s="10">
        <f>41340-4557-2500+820+G1006</f>
        <v>35103</v>
      </c>
      <c r="H1005" s="10">
        <v>35103</v>
      </c>
      <c r="I1005" s="10">
        <v>34794</v>
      </c>
      <c r="J1005" s="99">
        <f t="shared" si="136"/>
        <v>99.1197333561234</v>
      </c>
    </row>
    <row r="1006" spans="1:10" ht="16.5" customHeight="1">
      <c r="A1006" s="31" t="s">
        <v>371</v>
      </c>
      <c r="B1006" s="26" t="s">
        <v>46</v>
      </c>
      <c r="C1006" s="26" t="s">
        <v>386</v>
      </c>
      <c r="D1006" s="26" t="s">
        <v>387</v>
      </c>
      <c r="E1006" s="26" t="s">
        <v>427</v>
      </c>
      <c r="F1006" s="28"/>
      <c r="G1006" s="10">
        <f aca="true" t="shared" si="145" ref="G1006:I1008">G1007</f>
        <v>0</v>
      </c>
      <c r="H1006" s="10">
        <f t="shared" si="145"/>
        <v>400</v>
      </c>
      <c r="I1006" s="10">
        <f t="shared" si="145"/>
        <v>400</v>
      </c>
      <c r="J1006" s="99">
        <f t="shared" si="136"/>
        <v>100</v>
      </c>
    </row>
    <row r="1007" spans="1:10" ht="16.5" customHeight="1">
      <c r="A1007" s="8" t="s">
        <v>426</v>
      </c>
      <c r="B1007" s="26" t="s">
        <v>46</v>
      </c>
      <c r="C1007" s="26" t="s">
        <v>386</v>
      </c>
      <c r="D1007" s="26" t="s">
        <v>387</v>
      </c>
      <c r="E1007" s="26" t="s">
        <v>428</v>
      </c>
      <c r="F1007" s="28"/>
      <c r="G1007" s="10">
        <f t="shared" si="145"/>
        <v>0</v>
      </c>
      <c r="H1007" s="10">
        <f t="shared" si="145"/>
        <v>400</v>
      </c>
      <c r="I1007" s="10">
        <f t="shared" si="145"/>
        <v>400</v>
      </c>
      <c r="J1007" s="99">
        <f t="shared" si="136"/>
        <v>100</v>
      </c>
    </row>
    <row r="1008" spans="1:10" ht="16.5" customHeight="1">
      <c r="A1008" s="67" t="s">
        <v>469</v>
      </c>
      <c r="B1008" s="26" t="s">
        <v>46</v>
      </c>
      <c r="C1008" s="26" t="s">
        <v>386</v>
      </c>
      <c r="D1008" s="26" t="s">
        <v>387</v>
      </c>
      <c r="E1008" s="26" t="s">
        <v>311</v>
      </c>
      <c r="F1008" s="28"/>
      <c r="G1008" s="10">
        <f t="shared" si="145"/>
        <v>0</v>
      </c>
      <c r="H1008" s="10">
        <f t="shared" si="145"/>
        <v>400</v>
      </c>
      <c r="I1008" s="10">
        <f t="shared" si="145"/>
        <v>400</v>
      </c>
      <c r="J1008" s="99">
        <f t="shared" si="136"/>
        <v>100</v>
      </c>
    </row>
    <row r="1009" spans="1:10" ht="16.5" customHeight="1">
      <c r="A1009" s="64" t="s">
        <v>232</v>
      </c>
      <c r="B1009" s="26" t="s">
        <v>46</v>
      </c>
      <c r="C1009" s="26" t="s">
        <v>386</v>
      </c>
      <c r="D1009" s="26" t="s">
        <v>387</v>
      </c>
      <c r="E1009" s="26" t="s">
        <v>312</v>
      </c>
      <c r="F1009" s="28" t="s">
        <v>234</v>
      </c>
      <c r="G1009" s="10">
        <v>0</v>
      </c>
      <c r="H1009" s="10">
        <v>400</v>
      </c>
      <c r="I1009" s="10">
        <v>400</v>
      </c>
      <c r="J1009" s="99">
        <f t="shared" si="136"/>
        <v>100</v>
      </c>
    </row>
    <row r="1010" spans="1:10" ht="16.5" customHeight="1">
      <c r="A1010" s="31" t="s">
        <v>400</v>
      </c>
      <c r="B1010" s="20" t="s">
        <v>46</v>
      </c>
      <c r="C1010" s="26" t="s">
        <v>386</v>
      </c>
      <c r="D1010" s="26" t="s">
        <v>387</v>
      </c>
      <c r="E1010" s="27" t="s">
        <v>291</v>
      </c>
      <c r="F1010" s="28"/>
      <c r="G1010" s="10">
        <f aca="true" t="shared" si="146" ref="G1010:I1011">G1011</f>
        <v>52951</v>
      </c>
      <c r="H1010" s="10">
        <f t="shared" si="146"/>
        <v>52951</v>
      </c>
      <c r="I1010" s="10">
        <f t="shared" si="146"/>
        <v>52950</v>
      </c>
      <c r="J1010" s="99">
        <f t="shared" si="136"/>
        <v>99.99811146153992</v>
      </c>
    </row>
    <row r="1011" spans="1:10" ht="16.5" customHeight="1">
      <c r="A1011" s="8" t="s">
        <v>359</v>
      </c>
      <c r="B1011" s="20" t="s">
        <v>46</v>
      </c>
      <c r="C1011" s="26" t="s">
        <v>386</v>
      </c>
      <c r="D1011" s="26" t="s">
        <v>387</v>
      </c>
      <c r="E1011" s="27" t="s">
        <v>292</v>
      </c>
      <c r="F1011" s="28"/>
      <c r="G1011" s="10">
        <f t="shared" si="146"/>
        <v>52951</v>
      </c>
      <c r="H1011" s="10">
        <f t="shared" si="146"/>
        <v>52951</v>
      </c>
      <c r="I1011" s="10">
        <f t="shared" si="146"/>
        <v>52950</v>
      </c>
      <c r="J1011" s="99">
        <f t="shared" si="136"/>
        <v>99.99811146153992</v>
      </c>
    </row>
    <row r="1012" spans="1:10" ht="18" customHeight="1">
      <c r="A1012" s="64" t="s">
        <v>232</v>
      </c>
      <c r="B1012" s="20" t="s">
        <v>46</v>
      </c>
      <c r="C1012" s="26" t="s">
        <v>386</v>
      </c>
      <c r="D1012" s="26" t="s">
        <v>387</v>
      </c>
      <c r="E1012" s="27" t="s">
        <v>292</v>
      </c>
      <c r="F1012" s="28" t="s">
        <v>234</v>
      </c>
      <c r="G1012" s="10">
        <f>65832-12881</f>
        <v>52951</v>
      </c>
      <c r="H1012" s="10">
        <f>65832-12881</f>
        <v>52951</v>
      </c>
      <c r="I1012" s="10">
        <v>52950</v>
      </c>
      <c r="J1012" s="99">
        <f t="shared" si="136"/>
        <v>99.99811146153992</v>
      </c>
    </row>
    <row r="1013" spans="1:10" ht="18" customHeight="1">
      <c r="A1013" s="64" t="s">
        <v>29</v>
      </c>
      <c r="B1013" s="20" t="s">
        <v>46</v>
      </c>
      <c r="C1013" s="26" t="s">
        <v>386</v>
      </c>
      <c r="D1013" s="26" t="s">
        <v>387</v>
      </c>
      <c r="E1013" s="27" t="s">
        <v>32</v>
      </c>
      <c r="F1013" s="28"/>
      <c r="G1013" s="10">
        <f aca="true" t="shared" si="147" ref="G1013:I1014">G1014</f>
        <v>19</v>
      </c>
      <c r="H1013" s="10">
        <f t="shared" si="147"/>
        <v>19</v>
      </c>
      <c r="I1013" s="10">
        <f t="shared" si="147"/>
        <v>0</v>
      </c>
      <c r="J1013" s="99">
        <f t="shared" si="136"/>
        <v>0</v>
      </c>
    </row>
    <row r="1014" spans="1:10" ht="49.5" customHeight="1">
      <c r="A1014" s="64" t="s">
        <v>30</v>
      </c>
      <c r="B1014" s="20" t="s">
        <v>46</v>
      </c>
      <c r="C1014" s="26" t="s">
        <v>386</v>
      </c>
      <c r="D1014" s="26" t="s">
        <v>387</v>
      </c>
      <c r="E1014" s="27" t="s">
        <v>33</v>
      </c>
      <c r="F1014" s="28"/>
      <c r="G1014" s="10">
        <f t="shared" si="147"/>
        <v>19</v>
      </c>
      <c r="H1014" s="10">
        <f t="shared" si="147"/>
        <v>19</v>
      </c>
      <c r="I1014" s="10">
        <f t="shared" si="147"/>
        <v>0</v>
      </c>
      <c r="J1014" s="99">
        <f t="shared" si="136"/>
        <v>0</v>
      </c>
    </row>
    <row r="1015" spans="1:10" ht="16.5" customHeight="1">
      <c r="A1015" s="64" t="s">
        <v>232</v>
      </c>
      <c r="B1015" s="20" t="s">
        <v>46</v>
      </c>
      <c r="C1015" s="26" t="s">
        <v>386</v>
      </c>
      <c r="D1015" s="26" t="s">
        <v>387</v>
      </c>
      <c r="E1015" s="27" t="s">
        <v>33</v>
      </c>
      <c r="F1015" s="28" t="s">
        <v>234</v>
      </c>
      <c r="G1015" s="10">
        <v>19</v>
      </c>
      <c r="H1015" s="10">
        <v>19</v>
      </c>
      <c r="I1015" s="10">
        <v>0</v>
      </c>
      <c r="J1015" s="99">
        <f t="shared" si="136"/>
        <v>0</v>
      </c>
    </row>
    <row r="1016" spans="1:10" ht="16.5" customHeight="1">
      <c r="A1016" s="64" t="s">
        <v>7</v>
      </c>
      <c r="B1016" s="20" t="s">
        <v>46</v>
      </c>
      <c r="C1016" s="26" t="s">
        <v>386</v>
      </c>
      <c r="D1016" s="26" t="s">
        <v>387</v>
      </c>
      <c r="E1016" s="27" t="s">
        <v>9</v>
      </c>
      <c r="F1016" s="28"/>
      <c r="G1016" s="10">
        <f aca="true" t="shared" si="148" ref="G1016:I1017">G1017</f>
        <v>1</v>
      </c>
      <c r="H1016" s="10">
        <f t="shared" si="148"/>
        <v>1</v>
      </c>
      <c r="I1016" s="10">
        <f t="shared" si="148"/>
        <v>0</v>
      </c>
      <c r="J1016" s="99">
        <f t="shared" si="136"/>
        <v>0</v>
      </c>
    </row>
    <row r="1017" spans="1:10" ht="49.5" customHeight="1">
      <c r="A1017" s="64" t="s">
        <v>31</v>
      </c>
      <c r="B1017" s="20" t="s">
        <v>46</v>
      </c>
      <c r="C1017" s="26" t="s">
        <v>386</v>
      </c>
      <c r="D1017" s="26" t="s">
        <v>387</v>
      </c>
      <c r="E1017" s="27" t="s">
        <v>34</v>
      </c>
      <c r="F1017" s="28"/>
      <c r="G1017" s="10">
        <f t="shared" si="148"/>
        <v>1</v>
      </c>
      <c r="H1017" s="10">
        <f t="shared" si="148"/>
        <v>1</v>
      </c>
      <c r="I1017" s="10">
        <f t="shared" si="148"/>
        <v>0</v>
      </c>
      <c r="J1017" s="99">
        <f t="shared" si="136"/>
        <v>0</v>
      </c>
    </row>
    <row r="1018" spans="1:10" ht="16.5" customHeight="1">
      <c r="A1018" s="64" t="s">
        <v>232</v>
      </c>
      <c r="B1018" s="20" t="s">
        <v>46</v>
      </c>
      <c r="C1018" s="26" t="s">
        <v>386</v>
      </c>
      <c r="D1018" s="26" t="s">
        <v>387</v>
      </c>
      <c r="E1018" s="27" t="s">
        <v>34</v>
      </c>
      <c r="F1018" s="28" t="s">
        <v>234</v>
      </c>
      <c r="G1018" s="10">
        <v>1</v>
      </c>
      <c r="H1018" s="10">
        <v>1</v>
      </c>
      <c r="I1018" s="10">
        <v>0</v>
      </c>
      <c r="J1018" s="99">
        <f t="shared" si="136"/>
        <v>0</v>
      </c>
    </row>
    <row r="1019" spans="1:10" ht="16.5" customHeight="1">
      <c r="A1019" s="64" t="s">
        <v>219</v>
      </c>
      <c r="B1019" s="20" t="s">
        <v>46</v>
      </c>
      <c r="C1019" s="26" t="s">
        <v>386</v>
      </c>
      <c r="D1019" s="26" t="s">
        <v>387</v>
      </c>
      <c r="E1019" s="27" t="s">
        <v>548</v>
      </c>
      <c r="F1019" s="28"/>
      <c r="G1019" s="10">
        <f>G1020</f>
        <v>38427</v>
      </c>
      <c r="H1019" s="10">
        <f>H1020</f>
        <v>38427</v>
      </c>
      <c r="I1019" s="10">
        <f>I1020</f>
        <v>36033</v>
      </c>
      <c r="J1019" s="99">
        <f t="shared" si="136"/>
        <v>93.77000546490748</v>
      </c>
    </row>
    <row r="1020" spans="1:10" ht="66" customHeight="1">
      <c r="A1020" s="64" t="s">
        <v>549</v>
      </c>
      <c r="B1020" s="20" t="s">
        <v>46</v>
      </c>
      <c r="C1020" s="26" t="s">
        <v>386</v>
      </c>
      <c r="D1020" s="26" t="s">
        <v>387</v>
      </c>
      <c r="E1020" s="27" t="s">
        <v>550</v>
      </c>
      <c r="F1020" s="28"/>
      <c r="G1020" s="10">
        <f>G1021+G1023</f>
        <v>38427</v>
      </c>
      <c r="H1020" s="10">
        <f>H1021+H1023</f>
        <v>38427</v>
      </c>
      <c r="I1020" s="10">
        <f>I1021+I1023</f>
        <v>36033</v>
      </c>
      <c r="J1020" s="99">
        <f t="shared" si="136"/>
        <v>93.77000546490748</v>
      </c>
    </row>
    <row r="1021" spans="1:10" ht="79.5" customHeight="1">
      <c r="A1021" s="64" t="s">
        <v>636</v>
      </c>
      <c r="B1021" s="20" t="s">
        <v>46</v>
      </c>
      <c r="C1021" s="26" t="s">
        <v>386</v>
      </c>
      <c r="D1021" s="26" t="s">
        <v>387</v>
      </c>
      <c r="E1021" s="27" t="s">
        <v>637</v>
      </c>
      <c r="F1021" s="28"/>
      <c r="G1021" s="10">
        <f>G1022</f>
        <v>17439</v>
      </c>
      <c r="H1021" s="10">
        <f>H1022</f>
        <v>17439</v>
      </c>
      <c r="I1021" s="10">
        <f>I1022</f>
        <v>17432</v>
      </c>
      <c r="J1021" s="99">
        <f t="shared" si="136"/>
        <v>99.9598600837204</v>
      </c>
    </row>
    <row r="1022" spans="1:10" ht="16.5" customHeight="1">
      <c r="A1022" s="60" t="s">
        <v>419</v>
      </c>
      <c r="B1022" s="20" t="s">
        <v>46</v>
      </c>
      <c r="C1022" s="26" t="s">
        <v>386</v>
      </c>
      <c r="D1022" s="26" t="s">
        <v>387</v>
      </c>
      <c r="E1022" s="27" t="s">
        <v>637</v>
      </c>
      <c r="F1022" s="28" t="s">
        <v>420</v>
      </c>
      <c r="G1022" s="10">
        <f>22029-4590</f>
        <v>17439</v>
      </c>
      <c r="H1022" s="10">
        <f>22029-4590</f>
        <v>17439</v>
      </c>
      <c r="I1022" s="10">
        <v>17432</v>
      </c>
      <c r="J1022" s="99">
        <f t="shared" si="136"/>
        <v>99.9598600837204</v>
      </c>
    </row>
    <row r="1023" spans="1:10" ht="32.25" customHeight="1">
      <c r="A1023" s="64" t="s">
        <v>638</v>
      </c>
      <c r="B1023" s="20" t="s">
        <v>46</v>
      </c>
      <c r="C1023" s="26" t="s">
        <v>386</v>
      </c>
      <c r="D1023" s="26" t="s">
        <v>387</v>
      </c>
      <c r="E1023" s="27" t="s">
        <v>639</v>
      </c>
      <c r="F1023" s="28"/>
      <c r="G1023" s="10">
        <f>G1024</f>
        <v>20988</v>
      </c>
      <c r="H1023" s="10">
        <f>H1024</f>
        <v>20988</v>
      </c>
      <c r="I1023" s="10">
        <f>I1024</f>
        <v>18601</v>
      </c>
      <c r="J1023" s="99">
        <f t="shared" si="136"/>
        <v>88.62683438155136</v>
      </c>
    </row>
    <row r="1024" spans="1:10" ht="16.5" customHeight="1">
      <c r="A1024" s="60" t="s">
        <v>419</v>
      </c>
      <c r="B1024" s="20" t="s">
        <v>46</v>
      </c>
      <c r="C1024" s="26" t="s">
        <v>386</v>
      </c>
      <c r="D1024" s="26" t="s">
        <v>387</v>
      </c>
      <c r="E1024" s="27" t="s">
        <v>639</v>
      </c>
      <c r="F1024" s="28" t="s">
        <v>420</v>
      </c>
      <c r="G1024" s="10">
        <f>29696+956-696-8968</f>
        <v>20988</v>
      </c>
      <c r="H1024" s="10">
        <f>29696+956-696-8968</f>
        <v>20988</v>
      </c>
      <c r="I1024" s="10">
        <v>18601</v>
      </c>
      <c r="J1024" s="99">
        <f t="shared" si="136"/>
        <v>88.62683438155136</v>
      </c>
    </row>
    <row r="1025" spans="1:10" ht="16.5" customHeight="1">
      <c r="A1025" s="23" t="s">
        <v>199</v>
      </c>
      <c r="B1025" s="20" t="s">
        <v>46</v>
      </c>
      <c r="C1025" s="26" t="s">
        <v>386</v>
      </c>
      <c r="D1025" s="26" t="s">
        <v>387</v>
      </c>
      <c r="E1025" s="27" t="s">
        <v>417</v>
      </c>
      <c r="F1025" s="28"/>
      <c r="G1025" s="10">
        <f>G1026+G1029+G1031+G1034+G1037+G1039+G1043+G1046+G1058+G1070+G1041</f>
        <v>202872</v>
      </c>
      <c r="H1025" s="10">
        <f>H1026+H1029+H1031+H1034+H1037+H1039+H1043+H1046+H1058+H1070+H1041</f>
        <v>202922</v>
      </c>
      <c r="I1025" s="10">
        <f>I1026+I1029+I1031+I1034+I1037+I1039+I1043+I1046+I1058+I1070+I1041</f>
        <v>201756</v>
      </c>
      <c r="J1025" s="99">
        <f t="shared" si="136"/>
        <v>99.42539497935167</v>
      </c>
    </row>
    <row r="1026" spans="1:10" ht="32.25" customHeight="1">
      <c r="A1026" s="31" t="s">
        <v>563</v>
      </c>
      <c r="B1026" s="20" t="s">
        <v>46</v>
      </c>
      <c r="C1026" s="26" t="s">
        <v>386</v>
      </c>
      <c r="D1026" s="26" t="s">
        <v>387</v>
      </c>
      <c r="E1026" s="27" t="s">
        <v>254</v>
      </c>
      <c r="F1026" s="28"/>
      <c r="G1026" s="10">
        <f>G1027+G1028</f>
        <v>85796</v>
      </c>
      <c r="H1026" s="10">
        <f>H1027+H1028</f>
        <v>85796</v>
      </c>
      <c r="I1026" s="10">
        <f>I1027+I1028</f>
        <v>85166</v>
      </c>
      <c r="J1026" s="99">
        <f t="shared" si="136"/>
        <v>99.26570003263555</v>
      </c>
    </row>
    <row r="1027" spans="1:10" ht="16.5" customHeight="1">
      <c r="A1027" s="64" t="s">
        <v>232</v>
      </c>
      <c r="B1027" s="20" t="s">
        <v>46</v>
      </c>
      <c r="C1027" s="26" t="s">
        <v>386</v>
      </c>
      <c r="D1027" s="26" t="s">
        <v>387</v>
      </c>
      <c r="E1027" s="27" t="s">
        <v>254</v>
      </c>
      <c r="F1027" s="28" t="s">
        <v>234</v>
      </c>
      <c r="G1027" s="10">
        <f>105890-20465-4747+250+4124</f>
        <v>85052</v>
      </c>
      <c r="H1027" s="10">
        <v>85251</v>
      </c>
      <c r="I1027" s="10">
        <v>84621</v>
      </c>
      <c r="J1027" s="99">
        <f t="shared" si="136"/>
        <v>99.2610057360031</v>
      </c>
    </row>
    <row r="1028" spans="1:10" ht="16.5" customHeight="1">
      <c r="A1028" s="60" t="s">
        <v>419</v>
      </c>
      <c r="B1028" s="20" t="s">
        <v>46</v>
      </c>
      <c r="C1028" s="26" t="s">
        <v>386</v>
      </c>
      <c r="D1028" s="26" t="s">
        <v>387</v>
      </c>
      <c r="E1028" s="27" t="s">
        <v>254</v>
      </c>
      <c r="F1028" s="28" t="s">
        <v>420</v>
      </c>
      <c r="G1028" s="10">
        <f>9110-3992-250-4124</f>
        <v>744</v>
      </c>
      <c r="H1028" s="10">
        <v>545</v>
      </c>
      <c r="I1028" s="10">
        <v>545</v>
      </c>
      <c r="J1028" s="99">
        <f t="shared" si="136"/>
        <v>100</v>
      </c>
    </row>
    <row r="1029" spans="1:10" ht="17.25" customHeight="1" hidden="1">
      <c r="A1029" s="31" t="s">
        <v>562</v>
      </c>
      <c r="B1029" s="20" t="s">
        <v>46</v>
      </c>
      <c r="C1029" s="26" t="s">
        <v>386</v>
      </c>
      <c r="D1029" s="26" t="s">
        <v>387</v>
      </c>
      <c r="E1029" s="27" t="s">
        <v>446</v>
      </c>
      <c r="F1029" s="28"/>
      <c r="G1029" s="10">
        <f>G1030</f>
        <v>0</v>
      </c>
      <c r="H1029" s="10">
        <f>H1030</f>
        <v>0</v>
      </c>
      <c r="I1029" s="10">
        <f>I1030</f>
        <v>0</v>
      </c>
      <c r="J1029" s="99" t="e">
        <f t="shared" si="136"/>
        <v>#DIV/0!</v>
      </c>
    </row>
    <row r="1030" spans="1:10" ht="17.25" customHeight="1" hidden="1">
      <c r="A1030" s="64" t="s">
        <v>232</v>
      </c>
      <c r="B1030" s="20" t="s">
        <v>46</v>
      </c>
      <c r="C1030" s="54" t="s">
        <v>386</v>
      </c>
      <c r="D1030" s="54" t="s">
        <v>387</v>
      </c>
      <c r="E1030" s="55" t="s">
        <v>446</v>
      </c>
      <c r="F1030" s="56" t="s">
        <v>234</v>
      </c>
      <c r="G1030" s="10">
        <f>2350-2350</f>
        <v>0</v>
      </c>
      <c r="H1030" s="10">
        <f>2350-2350</f>
        <v>0</v>
      </c>
      <c r="I1030" s="10">
        <f>2350-2350</f>
        <v>0</v>
      </c>
      <c r="J1030" s="99" t="e">
        <f t="shared" si="136"/>
        <v>#DIV/0!</v>
      </c>
    </row>
    <row r="1031" spans="1:10" ht="32.25" customHeight="1" hidden="1">
      <c r="A1031" s="64" t="s">
        <v>517</v>
      </c>
      <c r="B1031" s="20" t="s">
        <v>46</v>
      </c>
      <c r="C1031" s="26" t="s">
        <v>386</v>
      </c>
      <c r="D1031" s="26" t="s">
        <v>387</v>
      </c>
      <c r="E1031" s="27" t="s">
        <v>447</v>
      </c>
      <c r="F1031" s="28"/>
      <c r="G1031" s="10">
        <f aca="true" t="shared" si="149" ref="G1031:I1032">G1032</f>
        <v>0</v>
      </c>
      <c r="H1031" s="10">
        <f t="shared" si="149"/>
        <v>0</v>
      </c>
      <c r="I1031" s="10">
        <f t="shared" si="149"/>
        <v>0</v>
      </c>
      <c r="J1031" s="99" t="e">
        <f t="shared" si="136"/>
        <v>#DIV/0!</v>
      </c>
    </row>
    <row r="1032" spans="1:10" ht="33" customHeight="1" hidden="1">
      <c r="A1032" s="31" t="s">
        <v>61</v>
      </c>
      <c r="B1032" s="20" t="s">
        <v>46</v>
      </c>
      <c r="C1032" s="26" t="s">
        <v>386</v>
      </c>
      <c r="D1032" s="26" t="s">
        <v>387</v>
      </c>
      <c r="E1032" s="27" t="s">
        <v>467</v>
      </c>
      <c r="F1032" s="28"/>
      <c r="G1032" s="10">
        <f t="shared" si="149"/>
        <v>0</v>
      </c>
      <c r="H1032" s="10">
        <f t="shared" si="149"/>
        <v>0</v>
      </c>
      <c r="I1032" s="10">
        <f t="shared" si="149"/>
        <v>0</v>
      </c>
      <c r="J1032" s="99" t="e">
        <f t="shared" si="136"/>
        <v>#DIV/0!</v>
      </c>
    </row>
    <row r="1033" spans="1:10" ht="18" customHeight="1" hidden="1">
      <c r="A1033" s="64" t="s">
        <v>232</v>
      </c>
      <c r="B1033" s="20" t="s">
        <v>46</v>
      </c>
      <c r="C1033" s="26" t="s">
        <v>386</v>
      </c>
      <c r="D1033" s="26" t="s">
        <v>387</v>
      </c>
      <c r="E1033" s="27" t="s">
        <v>467</v>
      </c>
      <c r="F1033" s="28" t="s">
        <v>234</v>
      </c>
      <c r="G1033" s="10">
        <f>895-895</f>
        <v>0</v>
      </c>
      <c r="H1033" s="10">
        <f>895-895</f>
        <v>0</v>
      </c>
      <c r="I1033" s="10">
        <f>895-895</f>
        <v>0</v>
      </c>
      <c r="J1033" s="99" t="e">
        <f t="shared" si="136"/>
        <v>#DIV/0!</v>
      </c>
    </row>
    <row r="1034" spans="1:10" ht="49.5" customHeight="1">
      <c r="A1034" s="31" t="s">
        <v>515</v>
      </c>
      <c r="B1034" s="20" t="s">
        <v>46</v>
      </c>
      <c r="C1034" s="26" t="s">
        <v>386</v>
      </c>
      <c r="D1034" s="26" t="s">
        <v>387</v>
      </c>
      <c r="E1034" s="27" t="s">
        <v>213</v>
      </c>
      <c r="F1034" s="28"/>
      <c r="G1034" s="10">
        <f>G1036+G1035</f>
        <v>4200</v>
      </c>
      <c r="H1034" s="10">
        <f>H1036+H1035</f>
        <v>4200</v>
      </c>
      <c r="I1034" s="10">
        <f>I1036+I1035</f>
        <v>3963</v>
      </c>
      <c r="J1034" s="99">
        <f t="shared" si="136"/>
        <v>94.35714285714286</v>
      </c>
    </row>
    <row r="1035" spans="1:10" ht="16.5" customHeight="1">
      <c r="A1035" s="64" t="s">
        <v>232</v>
      </c>
      <c r="B1035" s="20" t="s">
        <v>46</v>
      </c>
      <c r="C1035" s="26" t="s">
        <v>386</v>
      </c>
      <c r="D1035" s="26" t="s">
        <v>387</v>
      </c>
      <c r="E1035" s="27" t="s">
        <v>213</v>
      </c>
      <c r="F1035" s="28" t="s">
        <v>234</v>
      </c>
      <c r="G1035" s="10">
        <f>765-721</f>
        <v>44</v>
      </c>
      <c r="H1035" s="10">
        <f>765-721</f>
        <v>44</v>
      </c>
      <c r="I1035" s="10">
        <f>765-721</f>
        <v>44</v>
      </c>
      <c r="J1035" s="99">
        <f t="shared" si="136"/>
        <v>100</v>
      </c>
    </row>
    <row r="1036" spans="1:10" ht="16.5" customHeight="1">
      <c r="A1036" s="60" t="s">
        <v>419</v>
      </c>
      <c r="B1036" s="20" t="s">
        <v>46</v>
      </c>
      <c r="C1036" s="54" t="s">
        <v>386</v>
      </c>
      <c r="D1036" s="54" t="s">
        <v>387</v>
      </c>
      <c r="E1036" s="55" t="s">
        <v>213</v>
      </c>
      <c r="F1036" s="56" t="s">
        <v>420</v>
      </c>
      <c r="G1036" s="10">
        <f>3435+721</f>
        <v>4156</v>
      </c>
      <c r="H1036" s="10">
        <f>3435+721</f>
        <v>4156</v>
      </c>
      <c r="I1036" s="10">
        <v>3919</v>
      </c>
      <c r="J1036" s="99">
        <f t="shared" si="136"/>
        <v>94.29740134744947</v>
      </c>
    </row>
    <row r="1037" spans="1:10" ht="32.25" customHeight="1" hidden="1">
      <c r="A1037" s="31" t="s">
        <v>494</v>
      </c>
      <c r="B1037" s="20" t="s">
        <v>46</v>
      </c>
      <c r="C1037" s="26" t="s">
        <v>386</v>
      </c>
      <c r="D1037" s="26" t="s">
        <v>387</v>
      </c>
      <c r="E1037" s="27" t="s">
        <v>237</v>
      </c>
      <c r="F1037" s="28"/>
      <c r="G1037" s="10">
        <f>G1038</f>
        <v>0</v>
      </c>
      <c r="H1037" s="10">
        <f>H1038</f>
        <v>0</v>
      </c>
      <c r="I1037" s="10">
        <f>I1038</f>
        <v>0</v>
      </c>
      <c r="J1037" s="99" t="e">
        <f aca="true" t="shared" si="150" ref="J1037:J1100">I1037/H1037*100</f>
        <v>#DIV/0!</v>
      </c>
    </row>
    <row r="1038" spans="1:10" ht="18" customHeight="1" hidden="1">
      <c r="A1038" s="64" t="s">
        <v>232</v>
      </c>
      <c r="B1038" s="20" t="s">
        <v>46</v>
      </c>
      <c r="C1038" s="26" t="s">
        <v>386</v>
      </c>
      <c r="D1038" s="26" t="s">
        <v>387</v>
      </c>
      <c r="E1038" s="27" t="s">
        <v>237</v>
      </c>
      <c r="F1038" s="28" t="s">
        <v>234</v>
      </c>
      <c r="G1038" s="10">
        <f>94-94</f>
        <v>0</v>
      </c>
      <c r="H1038" s="10">
        <f>94-94</f>
        <v>0</v>
      </c>
      <c r="I1038" s="10">
        <f>94-94</f>
        <v>0</v>
      </c>
      <c r="J1038" s="99" t="e">
        <f t="shared" si="150"/>
        <v>#DIV/0!</v>
      </c>
    </row>
    <row r="1039" spans="1:10" ht="32.25" customHeight="1">
      <c r="A1039" s="60" t="s">
        <v>495</v>
      </c>
      <c r="B1039" s="20" t="s">
        <v>46</v>
      </c>
      <c r="C1039" s="26" t="s">
        <v>386</v>
      </c>
      <c r="D1039" s="26" t="s">
        <v>387</v>
      </c>
      <c r="E1039" s="27" t="s">
        <v>448</v>
      </c>
      <c r="F1039" s="28"/>
      <c r="G1039" s="10">
        <f>G1040</f>
        <v>70</v>
      </c>
      <c r="H1039" s="10">
        <f>H1040</f>
        <v>70</v>
      </c>
      <c r="I1039" s="10">
        <f>I1040</f>
        <v>70</v>
      </c>
      <c r="J1039" s="99">
        <f t="shared" si="150"/>
        <v>100</v>
      </c>
    </row>
    <row r="1040" spans="1:10" ht="16.5" customHeight="1">
      <c r="A1040" s="64" t="s">
        <v>232</v>
      </c>
      <c r="B1040" s="20" t="s">
        <v>46</v>
      </c>
      <c r="C1040" s="54" t="s">
        <v>386</v>
      </c>
      <c r="D1040" s="54" t="s">
        <v>387</v>
      </c>
      <c r="E1040" s="75" t="s">
        <v>448</v>
      </c>
      <c r="F1040" s="56" t="s">
        <v>234</v>
      </c>
      <c r="G1040" s="10">
        <f>140-140+70</f>
        <v>70</v>
      </c>
      <c r="H1040" s="10">
        <f>140-140+70</f>
        <v>70</v>
      </c>
      <c r="I1040" s="10">
        <f>140-140+70</f>
        <v>70</v>
      </c>
      <c r="J1040" s="99">
        <f t="shared" si="150"/>
        <v>100</v>
      </c>
    </row>
    <row r="1041" spans="1:10" ht="32.25" customHeight="1">
      <c r="A1041" s="23" t="s">
        <v>528</v>
      </c>
      <c r="B1041" s="26" t="s">
        <v>46</v>
      </c>
      <c r="C1041" s="26" t="s">
        <v>386</v>
      </c>
      <c r="D1041" s="26" t="s">
        <v>387</v>
      </c>
      <c r="E1041" s="27" t="s">
        <v>325</v>
      </c>
      <c r="F1041" s="28"/>
      <c r="G1041" s="10">
        <f>G1042</f>
        <v>0</v>
      </c>
      <c r="H1041" s="10">
        <f>H1042</f>
        <v>50</v>
      </c>
      <c r="I1041" s="10">
        <f>I1042</f>
        <v>50</v>
      </c>
      <c r="J1041" s="99">
        <f t="shared" si="150"/>
        <v>100</v>
      </c>
    </row>
    <row r="1042" spans="1:10" ht="16.5" customHeight="1">
      <c r="A1042" s="64" t="s">
        <v>232</v>
      </c>
      <c r="B1042" s="26" t="s">
        <v>46</v>
      </c>
      <c r="C1042" s="54" t="s">
        <v>386</v>
      </c>
      <c r="D1042" s="54" t="s">
        <v>387</v>
      </c>
      <c r="E1042" s="54" t="s">
        <v>325</v>
      </c>
      <c r="F1042" s="56" t="s">
        <v>234</v>
      </c>
      <c r="G1042" s="10">
        <v>0</v>
      </c>
      <c r="H1042" s="10">
        <v>50</v>
      </c>
      <c r="I1042" s="10">
        <v>50</v>
      </c>
      <c r="J1042" s="99">
        <f t="shared" si="150"/>
        <v>100</v>
      </c>
    </row>
    <row r="1043" spans="1:10" ht="49.5" customHeight="1">
      <c r="A1043" s="31" t="s">
        <v>151</v>
      </c>
      <c r="B1043" s="20" t="s">
        <v>46</v>
      </c>
      <c r="C1043" s="26" t="s">
        <v>386</v>
      </c>
      <c r="D1043" s="26" t="s">
        <v>387</v>
      </c>
      <c r="E1043" s="27" t="s">
        <v>293</v>
      </c>
      <c r="F1043" s="28"/>
      <c r="G1043" s="10">
        <f>G1044+G1045</f>
        <v>37418</v>
      </c>
      <c r="H1043" s="10">
        <f>H1044+H1045</f>
        <v>37418</v>
      </c>
      <c r="I1043" s="10">
        <f>I1044+I1045</f>
        <v>37285</v>
      </c>
      <c r="J1043" s="99">
        <f t="shared" si="150"/>
        <v>99.64455609599658</v>
      </c>
    </row>
    <row r="1044" spans="1:10" ht="16.5" customHeight="1">
      <c r="A1044" s="64" t="s">
        <v>232</v>
      </c>
      <c r="B1044" s="20" t="s">
        <v>46</v>
      </c>
      <c r="C1044" s="26" t="s">
        <v>386</v>
      </c>
      <c r="D1044" s="26" t="s">
        <v>387</v>
      </c>
      <c r="E1044" s="27" t="s">
        <v>293</v>
      </c>
      <c r="F1044" s="21" t="s">
        <v>234</v>
      </c>
      <c r="G1044" s="10">
        <f>29290-9445+17268</f>
        <v>37113</v>
      </c>
      <c r="H1044" s="10">
        <f>29290-9445+17268</f>
        <v>37113</v>
      </c>
      <c r="I1044" s="10">
        <v>36980</v>
      </c>
      <c r="J1044" s="99">
        <f t="shared" si="150"/>
        <v>99.64163500660146</v>
      </c>
    </row>
    <row r="1045" spans="1:10" ht="16.5" customHeight="1">
      <c r="A1045" s="60" t="s">
        <v>419</v>
      </c>
      <c r="B1045" s="20" t="s">
        <v>46</v>
      </c>
      <c r="C1045" s="26" t="s">
        <v>386</v>
      </c>
      <c r="D1045" s="26" t="s">
        <v>387</v>
      </c>
      <c r="E1045" s="27" t="s">
        <v>293</v>
      </c>
      <c r="F1045" s="28" t="s">
        <v>420</v>
      </c>
      <c r="G1045" s="10">
        <f>1075-770</f>
        <v>305</v>
      </c>
      <c r="H1045" s="10">
        <f>1075-770</f>
        <v>305</v>
      </c>
      <c r="I1045" s="10">
        <f>1075-770</f>
        <v>305</v>
      </c>
      <c r="J1045" s="99">
        <f t="shared" si="150"/>
        <v>100</v>
      </c>
    </row>
    <row r="1046" spans="1:10" ht="32.25" customHeight="1">
      <c r="A1046" s="8" t="s">
        <v>501</v>
      </c>
      <c r="B1046" s="20" t="s">
        <v>46</v>
      </c>
      <c r="C1046" s="26" t="s">
        <v>386</v>
      </c>
      <c r="D1046" s="26" t="s">
        <v>387</v>
      </c>
      <c r="E1046" s="27" t="s">
        <v>242</v>
      </c>
      <c r="F1046" s="28"/>
      <c r="G1046" s="10">
        <f>G1047+G1050+G1052+G1054+G1056</f>
        <v>67400</v>
      </c>
      <c r="H1046" s="10">
        <f>H1047+H1050+H1052+H1054+H1056</f>
        <v>67400</v>
      </c>
      <c r="I1046" s="10">
        <f>I1047+I1050+I1052+I1054+I1056</f>
        <v>67246</v>
      </c>
      <c r="J1046" s="99">
        <f t="shared" si="150"/>
        <v>99.77151335311572</v>
      </c>
    </row>
    <row r="1047" spans="1:10" ht="32.25" customHeight="1">
      <c r="A1047" s="8" t="s">
        <v>502</v>
      </c>
      <c r="B1047" s="20" t="s">
        <v>46</v>
      </c>
      <c r="C1047" s="26" t="s">
        <v>386</v>
      </c>
      <c r="D1047" s="26" t="s">
        <v>387</v>
      </c>
      <c r="E1047" s="27" t="s">
        <v>503</v>
      </c>
      <c r="F1047" s="28"/>
      <c r="G1047" s="10">
        <f>G1048+G1049</f>
        <v>40343</v>
      </c>
      <c r="H1047" s="10">
        <f>H1048+H1049</f>
        <v>40343</v>
      </c>
      <c r="I1047" s="10">
        <f>I1048+I1049</f>
        <v>40273</v>
      </c>
      <c r="J1047" s="99">
        <f t="shared" si="150"/>
        <v>99.82648786654438</v>
      </c>
    </row>
    <row r="1048" spans="1:10" ht="16.5" customHeight="1">
      <c r="A1048" s="64" t="s">
        <v>232</v>
      </c>
      <c r="B1048" s="20" t="s">
        <v>46</v>
      </c>
      <c r="C1048" s="26" t="s">
        <v>386</v>
      </c>
      <c r="D1048" s="26" t="s">
        <v>387</v>
      </c>
      <c r="E1048" s="27" t="s">
        <v>503</v>
      </c>
      <c r="F1048" s="28" t="s">
        <v>234</v>
      </c>
      <c r="G1048" s="10">
        <f>9100-7000</f>
        <v>2100</v>
      </c>
      <c r="H1048" s="10">
        <f>9100-7000</f>
        <v>2100</v>
      </c>
      <c r="I1048" s="10">
        <f>9100-7000</f>
        <v>2100</v>
      </c>
      <c r="J1048" s="99">
        <f t="shared" si="150"/>
        <v>100</v>
      </c>
    </row>
    <row r="1049" spans="1:10" ht="16.5" customHeight="1">
      <c r="A1049" s="60" t="s">
        <v>419</v>
      </c>
      <c r="B1049" s="20" t="s">
        <v>46</v>
      </c>
      <c r="C1049" s="26" t="s">
        <v>386</v>
      </c>
      <c r="D1049" s="26" t="s">
        <v>387</v>
      </c>
      <c r="E1049" s="27" t="s">
        <v>503</v>
      </c>
      <c r="F1049" s="28" t="s">
        <v>420</v>
      </c>
      <c r="G1049" s="10">
        <f>105470-67482+255</f>
        <v>38243</v>
      </c>
      <c r="H1049" s="10">
        <f>105470-67482+255</f>
        <v>38243</v>
      </c>
      <c r="I1049" s="10">
        <v>38173</v>
      </c>
      <c r="J1049" s="99">
        <f t="shared" si="150"/>
        <v>99.81695996652982</v>
      </c>
    </row>
    <row r="1050" spans="1:10" ht="32.25" customHeight="1">
      <c r="A1050" s="23" t="s">
        <v>504</v>
      </c>
      <c r="B1050" s="20" t="s">
        <v>46</v>
      </c>
      <c r="C1050" s="26" t="s">
        <v>386</v>
      </c>
      <c r="D1050" s="26" t="s">
        <v>387</v>
      </c>
      <c r="E1050" s="27" t="s">
        <v>505</v>
      </c>
      <c r="F1050" s="35"/>
      <c r="G1050" s="10">
        <f>G1051</f>
        <v>17458</v>
      </c>
      <c r="H1050" s="10">
        <f>H1051</f>
        <v>17458</v>
      </c>
      <c r="I1050" s="10">
        <f>I1051</f>
        <v>17384</v>
      </c>
      <c r="J1050" s="99">
        <f t="shared" si="150"/>
        <v>99.57612555848321</v>
      </c>
    </row>
    <row r="1051" spans="1:10" ht="16.5" customHeight="1">
      <c r="A1051" s="60" t="s">
        <v>419</v>
      </c>
      <c r="B1051" s="20" t="s">
        <v>46</v>
      </c>
      <c r="C1051" s="26" t="s">
        <v>386</v>
      </c>
      <c r="D1051" s="26" t="s">
        <v>387</v>
      </c>
      <c r="E1051" s="27" t="s">
        <v>505</v>
      </c>
      <c r="F1051" s="28" t="s">
        <v>420</v>
      </c>
      <c r="G1051" s="10">
        <f>18340-558-324</f>
        <v>17458</v>
      </c>
      <c r="H1051" s="10">
        <f>18340-558-324</f>
        <v>17458</v>
      </c>
      <c r="I1051" s="10">
        <v>17384</v>
      </c>
      <c r="J1051" s="99">
        <f t="shared" si="150"/>
        <v>99.57612555848321</v>
      </c>
    </row>
    <row r="1052" spans="1:10" ht="16.5" customHeight="1">
      <c r="A1052" s="8" t="s">
        <v>506</v>
      </c>
      <c r="B1052" s="20" t="s">
        <v>46</v>
      </c>
      <c r="C1052" s="26" t="s">
        <v>386</v>
      </c>
      <c r="D1052" s="26" t="s">
        <v>387</v>
      </c>
      <c r="E1052" s="27" t="s">
        <v>507</v>
      </c>
      <c r="F1052" s="28"/>
      <c r="G1052" s="10">
        <f>G1053</f>
        <v>6400</v>
      </c>
      <c r="H1052" s="10">
        <f>H1053</f>
        <v>6400</v>
      </c>
      <c r="I1052" s="10">
        <f>I1053</f>
        <v>6394</v>
      </c>
      <c r="J1052" s="99">
        <f t="shared" si="150"/>
        <v>99.90625</v>
      </c>
    </row>
    <row r="1053" spans="1:10" ht="16.5" customHeight="1">
      <c r="A1053" s="60" t="s">
        <v>419</v>
      </c>
      <c r="B1053" s="20" t="s">
        <v>46</v>
      </c>
      <c r="C1053" s="26" t="s">
        <v>386</v>
      </c>
      <c r="D1053" s="26" t="s">
        <v>387</v>
      </c>
      <c r="E1053" s="27" t="s">
        <v>508</v>
      </c>
      <c r="F1053" s="28" t="s">
        <v>420</v>
      </c>
      <c r="G1053" s="10">
        <f>8800-2400</f>
        <v>6400</v>
      </c>
      <c r="H1053" s="10">
        <f>8800-2400</f>
        <v>6400</v>
      </c>
      <c r="I1053" s="10">
        <v>6394</v>
      </c>
      <c r="J1053" s="99">
        <f t="shared" si="150"/>
        <v>99.90625</v>
      </c>
    </row>
    <row r="1054" spans="1:10" ht="16.5" customHeight="1">
      <c r="A1054" s="8" t="s">
        <v>509</v>
      </c>
      <c r="B1054" s="20" t="s">
        <v>46</v>
      </c>
      <c r="C1054" s="26" t="s">
        <v>386</v>
      </c>
      <c r="D1054" s="26" t="s">
        <v>387</v>
      </c>
      <c r="E1054" s="27" t="s">
        <v>510</v>
      </c>
      <c r="F1054" s="28"/>
      <c r="G1054" s="10">
        <f>G1055</f>
        <v>2900</v>
      </c>
      <c r="H1054" s="10">
        <f>H1055</f>
        <v>2900</v>
      </c>
      <c r="I1054" s="10">
        <f>I1055</f>
        <v>2896</v>
      </c>
      <c r="J1054" s="99">
        <f t="shared" si="150"/>
        <v>99.86206896551724</v>
      </c>
    </row>
    <row r="1055" spans="1:10" ht="16.5" customHeight="1">
      <c r="A1055" s="60" t="s">
        <v>419</v>
      </c>
      <c r="B1055" s="20" t="s">
        <v>46</v>
      </c>
      <c r="C1055" s="26" t="s">
        <v>386</v>
      </c>
      <c r="D1055" s="26" t="s">
        <v>387</v>
      </c>
      <c r="E1055" s="26" t="s">
        <v>510</v>
      </c>
      <c r="F1055" s="28" t="s">
        <v>420</v>
      </c>
      <c r="G1055" s="10">
        <f>4100-1200</f>
        <v>2900</v>
      </c>
      <c r="H1055" s="10">
        <f>4100-1200</f>
        <v>2900</v>
      </c>
      <c r="I1055" s="10">
        <v>2896</v>
      </c>
      <c r="J1055" s="99">
        <f t="shared" si="150"/>
        <v>99.86206896551724</v>
      </c>
    </row>
    <row r="1056" spans="1:10" ht="16.5" customHeight="1">
      <c r="A1056" s="8" t="s">
        <v>618</v>
      </c>
      <c r="B1056" s="20" t="s">
        <v>46</v>
      </c>
      <c r="C1056" s="26" t="s">
        <v>386</v>
      </c>
      <c r="D1056" s="26" t="s">
        <v>387</v>
      </c>
      <c r="E1056" s="27" t="s">
        <v>523</v>
      </c>
      <c r="F1056" s="28"/>
      <c r="G1056" s="10">
        <f>G1057</f>
        <v>299</v>
      </c>
      <c r="H1056" s="10">
        <f>H1057</f>
        <v>299</v>
      </c>
      <c r="I1056" s="10">
        <f>I1057</f>
        <v>299</v>
      </c>
      <c r="J1056" s="99">
        <f t="shared" si="150"/>
        <v>100</v>
      </c>
    </row>
    <row r="1057" spans="1:10" ht="16.5" customHeight="1">
      <c r="A1057" s="60" t="s">
        <v>419</v>
      </c>
      <c r="B1057" s="20" t="s">
        <v>46</v>
      </c>
      <c r="C1057" s="26" t="s">
        <v>386</v>
      </c>
      <c r="D1057" s="26" t="s">
        <v>387</v>
      </c>
      <c r="E1057" s="26" t="s">
        <v>523</v>
      </c>
      <c r="F1057" s="28" t="s">
        <v>420</v>
      </c>
      <c r="G1057" s="10">
        <f>230+69</f>
        <v>299</v>
      </c>
      <c r="H1057" s="10">
        <f>230+69</f>
        <v>299</v>
      </c>
      <c r="I1057" s="10">
        <f>230+69</f>
        <v>299</v>
      </c>
      <c r="J1057" s="99">
        <f t="shared" si="150"/>
        <v>100</v>
      </c>
    </row>
    <row r="1058" spans="1:10" ht="32.25" customHeight="1">
      <c r="A1058" s="31" t="s">
        <v>497</v>
      </c>
      <c r="B1058" s="20" t="s">
        <v>46</v>
      </c>
      <c r="C1058" s="26" t="s">
        <v>386</v>
      </c>
      <c r="D1058" s="26" t="s">
        <v>387</v>
      </c>
      <c r="E1058" s="26" t="s">
        <v>243</v>
      </c>
      <c r="F1058" s="21"/>
      <c r="G1058" s="10">
        <f>G1059+G1062+G1064+G1066+G1068</f>
        <v>7988</v>
      </c>
      <c r="H1058" s="10">
        <f>H1059+H1062+H1064+H1066+H1068</f>
        <v>7988</v>
      </c>
      <c r="I1058" s="10">
        <f>I1059+I1062+I1064+I1066+I1068</f>
        <v>7976</v>
      </c>
      <c r="J1058" s="99">
        <f t="shared" si="150"/>
        <v>99.84977466199298</v>
      </c>
    </row>
    <row r="1059" spans="1:10" ht="32.25" customHeight="1">
      <c r="A1059" s="31" t="s">
        <v>511</v>
      </c>
      <c r="B1059" s="20" t="s">
        <v>46</v>
      </c>
      <c r="C1059" s="26" t="s">
        <v>386</v>
      </c>
      <c r="D1059" s="26" t="s">
        <v>387</v>
      </c>
      <c r="E1059" s="26" t="s">
        <v>512</v>
      </c>
      <c r="F1059" s="21"/>
      <c r="G1059" s="10">
        <f>G1060+G1061</f>
        <v>7438</v>
      </c>
      <c r="H1059" s="10">
        <f>H1060+H1061</f>
        <v>7438</v>
      </c>
      <c r="I1059" s="10">
        <f>I1060+I1061</f>
        <v>7431</v>
      </c>
      <c r="J1059" s="99">
        <f t="shared" si="150"/>
        <v>99.90588867975262</v>
      </c>
    </row>
    <row r="1060" spans="1:10" ht="16.5" customHeight="1">
      <c r="A1060" s="64" t="s">
        <v>232</v>
      </c>
      <c r="B1060" s="20" t="s">
        <v>46</v>
      </c>
      <c r="C1060" s="26" t="s">
        <v>386</v>
      </c>
      <c r="D1060" s="26" t="s">
        <v>387</v>
      </c>
      <c r="E1060" s="26" t="s">
        <v>512</v>
      </c>
      <c r="F1060" s="21" t="s">
        <v>234</v>
      </c>
      <c r="G1060" s="10">
        <v>2164</v>
      </c>
      <c r="H1060" s="10">
        <v>2164</v>
      </c>
      <c r="I1060" s="10">
        <v>2164</v>
      </c>
      <c r="J1060" s="99">
        <f t="shared" si="150"/>
        <v>100</v>
      </c>
    </row>
    <row r="1061" spans="1:10" ht="16.5" customHeight="1">
      <c r="A1061" s="60" t="s">
        <v>419</v>
      </c>
      <c r="B1061" s="20" t="s">
        <v>46</v>
      </c>
      <c r="C1061" s="26" t="s">
        <v>386</v>
      </c>
      <c r="D1061" s="26" t="s">
        <v>387</v>
      </c>
      <c r="E1061" s="26" t="s">
        <v>512</v>
      </c>
      <c r="F1061" s="28" t="s">
        <v>420</v>
      </c>
      <c r="G1061" s="10">
        <f>5324-50</f>
        <v>5274</v>
      </c>
      <c r="H1061" s="10">
        <f>5324-50</f>
        <v>5274</v>
      </c>
      <c r="I1061" s="10">
        <v>5267</v>
      </c>
      <c r="J1061" s="99">
        <f t="shared" si="150"/>
        <v>99.86727341676146</v>
      </c>
    </row>
    <row r="1062" spans="1:10" ht="16.5" customHeight="1">
      <c r="A1062" s="31" t="s">
        <v>513</v>
      </c>
      <c r="B1062" s="20" t="s">
        <v>46</v>
      </c>
      <c r="C1062" s="26" t="s">
        <v>386</v>
      </c>
      <c r="D1062" s="26" t="s">
        <v>387</v>
      </c>
      <c r="E1062" s="26" t="s">
        <v>514</v>
      </c>
      <c r="F1062" s="28"/>
      <c r="G1062" s="10">
        <f>G1063</f>
        <v>500</v>
      </c>
      <c r="H1062" s="10">
        <f>H1063</f>
        <v>500</v>
      </c>
      <c r="I1062" s="10">
        <f>I1063</f>
        <v>495</v>
      </c>
      <c r="J1062" s="99">
        <f t="shared" si="150"/>
        <v>99</v>
      </c>
    </row>
    <row r="1063" spans="1:10" ht="16.5" customHeight="1">
      <c r="A1063" s="60" t="s">
        <v>419</v>
      </c>
      <c r="B1063" s="20" t="s">
        <v>46</v>
      </c>
      <c r="C1063" s="26" t="s">
        <v>386</v>
      </c>
      <c r="D1063" s="26" t="s">
        <v>387</v>
      </c>
      <c r="E1063" s="26" t="s">
        <v>514</v>
      </c>
      <c r="F1063" s="28" t="s">
        <v>420</v>
      </c>
      <c r="G1063" s="10">
        <v>500</v>
      </c>
      <c r="H1063" s="10">
        <v>500</v>
      </c>
      <c r="I1063" s="10">
        <v>495</v>
      </c>
      <c r="J1063" s="99">
        <f t="shared" si="150"/>
        <v>99</v>
      </c>
    </row>
    <row r="1064" spans="1:10" ht="48.75" customHeight="1" hidden="1">
      <c r="A1064" s="31" t="s">
        <v>498</v>
      </c>
      <c r="B1064" s="20" t="s">
        <v>46</v>
      </c>
      <c r="C1064" s="26" t="s">
        <v>386</v>
      </c>
      <c r="D1064" s="26" t="s">
        <v>387</v>
      </c>
      <c r="E1064" s="26" t="s">
        <v>454</v>
      </c>
      <c r="F1064" s="21"/>
      <c r="G1064" s="10">
        <f>G1065</f>
        <v>0</v>
      </c>
      <c r="H1064" s="10">
        <f>H1065</f>
        <v>0</v>
      </c>
      <c r="I1064" s="10">
        <f>I1065</f>
        <v>0</v>
      </c>
      <c r="J1064" s="99" t="e">
        <f t="shared" si="150"/>
        <v>#DIV/0!</v>
      </c>
    </row>
    <row r="1065" spans="1:10" ht="18" customHeight="1" hidden="1">
      <c r="A1065" s="64" t="s">
        <v>232</v>
      </c>
      <c r="B1065" s="20" t="s">
        <v>46</v>
      </c>
      <c r="C1065" s="26" t="s">
        <v>386</v>
      </c>
      <c r="D1065" s="26" t="s">
        <v>387</v>
      </c>
      <c r="E1065" s="26" t="s">
        <v>454</v>
      </c>
      <c r="F1065" s="21" t="s">
        <v>234</v>
      </c>
      <c r="G1065" s="10">
        <f>444-444</f>
        <v>0</v>
      </c>
      <c r="H1065" s="10">
        <f>444-444</f>
        <v>0</v>
      </c>
      <c r="I1065" s="10">
        <f>444-444</f>
        <v>0</v>
      </c>
      <c r="J1065" s="99" t="e">
        <f t="shared" si="150"/>
        <v>#DIV/0!</v>
      </c>
    </row>
    <row r="1066" spans="1:10" ht="16.5" customHeight="1">
      <c r="A1066" s="31" t="s">
        <v>134</v>
      </c>
      <c r="B1066" s="20" t="s">
        <v>46</v>
      </c>
      <c r="C1066" s="26" t="s">
        <v>386</v>
      </c>
      <c r="D1066" s="26" t="s">
        <v>387</v>
      </c>
      <c r="E1066" s="26" t="s">
        <v>136</v>
      </c>
      <c r="F1066" s="21"/>
      <c r="G1066" s="97">
        <f>G1067</f>
        <v>8</v>
      </c>
      <c r="H1066" s="97">
        <f>H1067</f>
        <v>8</v>
      </c>
      <c r="I1066" s="97">
        <f>I1067</f>
        <v>8</v>
      </c>
      <c r="J1066" s="99">
        <f t="shared" si="150"/>
        <v>100</v>
      </c>
    </row>
    <row r="1067" spans="1:10" ht="16.5" customHeight="1">
      <c r="A1067" s="60" t="s">
        <v>419</v>
      </c>
      <c r="B1067" s="20" t="s">
        <v>46</v>
      </c>
      <c r="C1067" s="26" t="s">
        <v>386</v>
      </c>
      <c r="D1067" s="26" t="s">
        <v>387</v>
      </c>
      <c r="E1067" s="26" t="s">
        <v>136</v>
      </c>
      <c r="F1067" s="21" t="s">
        <v>420</v>
      </c>
      <c r="G1067" s="97">
        <v>8</v>
      </c>
      <c r="H1067" s="97">
        <v>8</v>
      </c>
      <c r="I1067" s="97">
        <v>8</v>
      </c>
      <c r="J1067" s="99">
        <f t="shared" si="150"/>
        <v>100</v>
      </c>
    </row>
    <row r="1068" spans="1:10" ht="32.25" customHeight="1">
      <c r="A1068" s="31" t="s">
        <v>135</v>
      </c>
      <c r="B1068" s="20" t="s">
        <v>46</v>
      </c>
      <c r="C1068" s="26" t="s">
        <v>386</v>
      </c>
      <c r="D1068" s="26" t="s">
        <v>387</v>
      </c>
      <c r="E1068" s="26" t="s">
        <v>137</v>
      </c>
      <c r="F1068" s="21"/>
      <c r="G1068" s="97">
        <f>G1069</f>
        <v>42</v>
      </c>
      <c r="H1068" s="97">
        <f>H1069</f>
        <v>42</v>
      </c>
      <c r="I1068" s="97">
        <f>I1069</f>
        <v>42</v>
      </c>
      <c r="J1068" s="99">
        <f t="shared" si="150"/>
        <v>100</v>
      </c>
    </row>
    <row r="1069" spans="1:10" ht="16.5" customHeight="1">
      <c r="A1069" s="60" t="s">
        <v>419</v>
      </c>
      <c r="B1069" s="20" t="s">
        <v>46</v>
      </c>
      <c r="C1069" s="26" t="s">
        <v>386</v>
      </c>
      <c r="D1069" s="26" t="s">
        <v>387</v>
      </c>
      <c r="E1069" s="26" t="s">
        <v>137</v>
      </c>
      <c r="F1069" s="21" t="s">
        <v>420</v>
      </c>
      <c r="G1069" s="97">
        <v>42</v>
      </c>
      <c r="H1069" s="97">
        <v>42</v>
      </c>
      <c r="I1069" s="97">
        <v>42</v>
      </c>
      <c r="J1069" s="99">
        <f t="shared" si="150"/>
        <v>100</v>
      </c>
    </row>
    <row r="1070" spans="1:10" ht="48" customHeight="1" hidden="1">
      <c r="A1070" s="64" t="s">
        <v>499</v>
      </c>
      <c r="B1070" s="20" t="s">
        <v>46</v>
      </c>
      <c r="C1070" s="26" t="s">
        <v>386</v>
      </c>
      <c r="D1070" s="26" t="s">
        <v>387</v>
      </c>
      <c r="E1070" s="27" t="s">
        <v>481</v>
      </c>
      <c r="F1070" s="28"/>
      <c r="G1070" s="10">
        <f>G1071</f>
        <v>0</v>
      </c>
      <c r="H1070" s="10">
        <f>H1071</f>
        <v>0</v>
      </c>
      <c r="I1070" s="10">
        <f>I1071</f>
        <v>0</v>
      </c>
      <c r="J1070" s="99" t="e">
        <f t="shared" si="150"/>
        <v>#DIV/0!</v>
      </c>
    </row>
    <row r="1071" spans="1:10" ht="18" customHeight="1" hidden="1">
      <c r="A1071" s="64" t="s">
        <v>232</v>
      </c>
      <c r="B1071" s="20" t="s">
        <v>46</v>
      </c>
      <c r="C1071" s="26" t="s">
        <v>386</v>
      </c>
      <c r="D1071" s="26" t="s">
        <v>387</v>
      </c>
      <c r="E1071" s="27" t="s">
        <v>481</v>
      </c>
      <c r="F1071" s="28" t="s">
        <v>234</v>
      </c>
      <c r="G1071" s="10">
        <f>4-4</f>
        <v>0</v>
      </c>
      <c r="H1071" s="10">
        <f>4-4</f>
        <v>0</v>
      </c>
      <c r="I1071" s="10">
        <f>4-4</f>
        <v>0</v>
      </c>
      <c r="J1071" s="99" t="e">
        <f t="shared" si="150"/>
        <v>#DIV/0!</v>
      </c>
    </row>
    <row r="1072" spans="1:10" ht="12" customHeight="1">
      <c r="A1072" s="64"/>
      <c r="B1072" s="26"/>
      <c r="C1072" s="26"/>
      <c r="D1072" s="26"/>
      <c r="E1072" s="27"/>
      <c r="F1072" s="28"/>
      <c r="G1072" s="10"/>
      <c r="H1072" s="10"/>
      <c r="I1072" s="10"/>
      <c r="J1072" s="99"/>
    </row>
    <row r="1073" spans="1:10" ht="16.5" customHeight="1">
      <c r="A1073" s="62" t="s">
        <v>255</v>
      </c>
      <c r="B1073" s="30" t="s">
        <v>46</v>
      </c>
      <c r="C1073" s="30" t="s">
        <v>387</v>
      </c>
      <c r="D1073" s="30"/>
      <c r="E1073" s="15"/>
      <c r="F1073" s="33"/>
      <c r="G1073" s="5">
        <f>G1074+G1079+G1088+G1106</f>
        <v>139884</v>
      </c>
      <c r="H1073" s="5">
        <f>H1074+H1079+H1088+H1106</f>
        <v>146301</v>
      </c>
      <c r="I1073" s="5">
        <f>I1074+I1079+I1088+I1106</f>
        <v>145275</v>
      </c>
      <c r="J1073" s="103">
        <f t="shared" si="150"/>
        <v>99.2987060922345</v>
      </c>
    </row>
    <row r="1074" spans="1:10" ht="16.5" customHeight="1">
      <c r="A1074" s="31" t="s">
        <v>294</v>
      </c>
      <c r="B1074" s="20" t="s">
        <v>46</v>
      </c>
      <c r="C1074" s="20" t="s">
        <v>387</v>
      </c>
      <c r="D1074" s="20" t="s">
        <v>379</v>
      </c>
      <c r="E1074" s="19"/>
      <c r="F1074" s="21"/>
      <c r="G1074" s="10">
        <f aca="true" t="shared" si="151" ref="G1074:I1076">G1075</f>
        <v>11550</v>
      </c>
      <c r="H1074" s="10">
        <f t="shared" si="151"/>
        <v>11550</v>
      </c>
      <c r="I1074" s="10">
        <f t="shared" si="151"/>
        <v>11147</v>
      </c>
      <c r="J1074" s="99">
        <f t="shared" si="150"/>
        <v>96.5108225108225</v>
      </c>
    </row>
    <row r="1075" spans="1:10" ht="16.5" customHeight="1">
      <c r="A1075" s="31" t="s">
        <v>295</v>
      </c>
      <c r="B1075" s="20" t="s">
        <v>46</v>
      </c>
      <c r="C1075" s="20" t="s">
        <v>387</v>
      </c>
      <c r="D1075" s="20" t="s">
        <v>379</v>
      </c>
      <c r="E1075" s="19" t="s">
        <v>296</v>
      </c>
      <c r="F1075" s="21"/>
      <c r="G1075" s="10">
        <f t="shared" si="151"/>
        <v>11550</v>
      </c>
      <c r="H1075" s="10">
        <f t="shared" si="151"/>
        <v>11550</v>
      </c>
      <c r="I1075" s="10">
        <f t="shared" si="151"/>
        <v>11147</v>
      </c>
      <c r="J1075" s="99">
        <f t="shared" si="150"/>
        <v>96.5108225108225</v>
      </c>
    </row>
    <row r="1076" spans="1:10" ht="32.25" customHeight="1">
      <c r="A1076" s="31" t="s">
        <v>407</v>
      </c>
      <c r="B1076" s="20" t="s">
        <v>46</v>
      </c>
      <c r="C1076" s="20" t="s">
        <v>387</v>
      </c>
      <c r="D1076" s="20" t="s">
        <v>379</v>
      </c>
      <c r="E1076" s="19" t="s">
        <v>476</v>
      </c>
      <c r="F1076" s="21"/>
      <c r="G1076" s="10">
        <f t="shared" si="151"/>
        <v>11550</v>
      </c>
      <c r="H1076" s="10">
        <f t="shared" si="151"/>
        <v>11550</v>
      </c>
      <c r="I1076" s="10">
        <f t="shared" si="151"/>
        <v>11147</v>
      </c>
      <c r="J1076" s="99">
        <f t="shared" si="150"/>
        <v>96.5108225108225</v>
      </c>
    </row>
    <row r="1077" spans="1:10" ht="16.5" customHeight="1">
      <c r="A1077" s="31" t="s">
        <v>258</v>
      </c>
      <c r="B1077" s="20" t="s">
        <v>46</v>
      </c>
      <c r="C1077" s="20" t="s">
        <v>387</v>
      </c>
      <c r="D1077" s="20" t="s">
        <v>379</v>
      </c>
      <c r="E1077" s="19" t="s">
        <v>476</v>
      </c>
      <c r="F1077" s="21" t="s">
        <v>363</v>
      </c>
      <c r="G1077" s="10">
        <f>18150-3150-3450</f>
        <v>11550</v>
      </c>
      <c r="H1077" s="10">
        <f>18150-3150-3450</f>
        <v>11550</v>
      </c>
      <c r="I1077" s="10">
        <v>11147</v>
      </c>
      <c r="J1077" s="99">
        <f t="shared" si="150"/>
        <v>96.5108225108225</v>
      </c>
    </row>
    <row r="1078" spans="1:10" ht="12.75" customHeight="1">
      <c r="A1078" s="29"/>
      <c r="B1078" s="20"/>
      <c r="C1078" s="26"/>
      <c r="D1078" s="26"/>
      <c r="E1078" s="26"/>
      <c r="F1078" s="28"/>
      <c r="G1078" s="10"/>
      <c r="H1078" s="10"/>
      <c r="I1078" s="10"/>
      <c r="J1078" s="99"/>
    </row>
    <row r="1079" spans="1:10" ht="16.5" customHeight="1">
      <c r="A1079" s="31" t="s">
        <v>297</v>
      </c>
      <c r="B1079" s="20" t="s">
        <v>46</v>
      </c>
      <c r="C1079" s="20" t="s">
        <v>387</v>
      </c>
      <c r="D1079" s="20" t="s">
        <v>380</v>
      </c>
      <c r="E1079" s="19"/>
      <c r="F1079" s="21"/>
      <c r="G1079" s="10">
        <f>G1084+G1080</f>
        <v>100243</v>
      </c>
      <c r="H1079" s="10">
        <f>H1084+H1080</f>
        <v>100391</v>
      </c>
      <c r="I1079" s="10">
        <f>I1084+I1080</f>
        <v>100269</v>
      </c>
      <c r="J1079" s="99">
        <f t="shared" si="150"/>
        <v>99.87847516211612</v>
      </c>
    </row>
    <row r="1080" spans="1:10" ht="16.5" customHeight="1">
      <c r="A1080" s="31" t="s">
        <v>371</v>
      </c>
      <c r="B1080" s="26" t="s">
        <v>46</v>
      </c>
      <c r="C1080" s="26" t="s">
        <v>387</v>
      </c>
      <c r="D1080" s="26" t="s">
        <v>380</v>
      </c>
      <c r="E1080" s="26" t="s">
        <v>427</v>
      </c>
      <c r="F1080" s="28"/>
      <c r="G1080" s="10">
        <f aca="true" t="shared" si="152" ref="G1080:I1082">G1081</f>
        <v>0</v>
      </c>
      <c r="H1080" s="10">
        <f t="shared" si="152"/>
        <v>148</v>
      </c>
      <c r="I1080" s="10">
        <f t="shared" si="152"/>
        <v>148</v>
      </c>
      <c r="J1080" s="99">
        <f t="shared" si="150"/>
        <v>100</v>
      </c>
    </row>
    <row r="1081" spans="1:10" ht="16.5" customHeight="1">
      <c r="A1081" s="8" t="s">
        <v>426</v>
      </c>
      <c r="B1081" s="26" t="s">
        <v>46</v>
      </c>
      <c r="C1081" s="26" t="s">
        <v>387</v>
      </c>
      <c r="D1081" s="26" t="s">
        <v>380</v>
      </c>
      <c r="E1081" s="26" t="s">
        <v>428</v>
      </c>
      <c r="F1081" s="28"/>
      <c r="G1081" s="10">
        <f t="shared" si="152"/>
        <v>0</v>
      </c>
      <c r="H1081" s="10">
        <f t="shared" si="152"/>
        <v>148</v>
      </c>
      <c r="I1081" s="10">
        <f t="shared" si="152"/>
        <v>148</v>
      </c>
      <c r="J1081" s="99">
        <f t="shared" si="150"/>
        <v>100</v>
      </c>
    </row>
    <row r="1082" spans="1:10" ht="16.5" customHeight="1">
      <c r="A1082" s="67" t="s">
        <v>469</v>
      </c>
      <c r="B1082" s="26" t="s">
        <v>46</v>
      </c>
      <c r="C1082" s="26" t="s">
        <v>387</v>
      </c>
      <c r="D1082" s="26" t="s">
        <v>380</v>
      </c>
      <c r="E1082" s="26" t="s">
        <v>311</v>
      </c>
      <c r="F1082" s="28"/>
      <c r="G1082" s="10">
        <f t="shared" si="152"/>
        <v>0</v>
      </c>
      <c r="H1082" s="10">
        <f t="shared" si="152"/>
        <v>148</v>
      </c>
      <c r="I1082" s="10">
        <f t="shared" si="152"/>
        <v>148</v>
      </c>
      <c r="J1082" s="99">
        <f t="shared" si="150"/>
        <v>100</v>
      </c>
    </row>
    <row r="1083" spans="1:10" ht="16.5" customHeight="1">
      <c r="A1083" s="64" t="s">
        <v>232</v>
      </c>
      <c r="B1083" s="26" t="s">
        <v>46</v>
      </c>
      <c r="C1083" s="26" t="s">
        <v>387</v>
      </c>
      <c r="D1083" s="26" t="s">
        <v>380</v>
      </c>
      <c r="E1083" s="26" t="s">
        <v>312</v>
      </c>
      <c r="F1083" s="28" t="s">
        <v>234</v>
      </c>
      <c r="G1083" s="10">
        <v>0</v>
      </c>
      <c r="H1083" s="10">
        <v>148</v>
      </c>
      <c r="I1083" s="10">
        <v>148</v>
      </c>
      <c r="J1083" s="99">
        <f t="shared" si="150"/>
        <v>100</v>
      </c>
    </row>
    <row r="1084" spans="1:10" ht="16.5" customHeight="1">
      <c r="A1084" s="31" t="s">
        <v>408</v>
      </c>
      <c r="B1084" s="20" t="s">
        <v>46</v>
      </c>
      <c r="C1084" s="20" t="s">
        <v>387</v>
      </c>
      <c r="D1084" s="20" t="s">
        <v>380</v>
      </c>
      <c r="E1084" s="19" t="s">
        <v>298</v>
      </c>
      <c r="F1084" s="21"/>
      <c r="G1084" s="10">
        <f aca="true" t="shared" si="153" ref="G1084:I1085">G1085</f>
        <v>100243</v>
      </c>
      <c r="H1084" s="10">
        <f t="shared" si="153"/>
        <v>100243</v>
      </c>
      <c r="I1084" s="10">
        <f t="shared" si="153"/>
        <v>100121</v>
      </c>
      <c r="J1084" s="99">
        <f t="shared" si="150"/>
        <v>99.87829574134852</v>
      </c>
    </row>
    <row r="1085" spans="1:10" ht="16.5" customHeight="1">
      <c r="A1085" s="8" t="s">
        <v>359</v>
      </c>
      <c r="B1085" s="20" t="s">
        <v>46</v>
      </c>
      <c r="C1085" s="20" t="s">
        <v>387</v>
      </c>
      <c r="D1085" s="20" t="s">
        <v>380</v>
      </c>
      <c r="E1085" s="19" t="s">
        <v>299</v>
      </c>
      <c r="F1085" s="21"/>
      <c r="G1085" s="10">
        <f t="shared" si="153"/>
        <v>100243</v>
      </c>
      <c r="H1085" s="10">
        <f t="shared" si="153"/>
        <v>100243</v>
      </c>
      <c r="I1085" s="10">
        <f t="shared" si="153"/>
        <v>100121</v>
      </c>
      <c r="J1085" s="99">
        <f t="shared" si="150"/>
        <v>99.87829574134852</v>
      </c>
    </row>
    <row r="1086" spans="1:10" ht="16.5" customHeight="1">
      <c r="A1086" s="64" t="s">
        <v>232</v>
      </c>
      <c r="B1086" s="20" t="s">
        <v>46</v>
      </c>
      <c r="C1086" s="20" t="s">
        <v>387</v>
      </c>
      <c r="D1086" s="20" t="s">
        <v>380</v>
      </c>
      <c r="E1086" s="19" t="s">
        <v>299</v>
      </c>
      <c r="F1086" s="21" t="s">
        <v>234</v>
      </c>
      <c r="G1086" s="10">
        <f>120543-19575-725</f>
        <v>100243</v>
      </c>
      <c r="H1086" s="10">
        <f>120543-19575-725</f>
        <v>100243</v>
      </c>
      <c r="I1086" s="10">
        <v>100121</v>
      </c>
      <c r="J1086" s="99">
        <f t="shared" si="150"/>
        <v>99.87829574134852</v>
      </c>
    </row>
    <row r="1087" spans="1:10" ht="12" customHeight="1">
      <c r="A1087" s="64"/>
      <c r="B1087" s="26"/>
      <c r="C1087" s="26"/>
      <c r="D1087" s="26"/>
      <c r="E1087" s="27"/>
      <c r="F1087" s="28"/>
      <c r="G1087" s="10"/>
      <c r="H1087" s="10"/>
      <c r="I1087" s="10"/>
      <c r="J1087" s="99"/>
    </row>
    <row r="1088" spans="1:10" ht="16.5" customHeight="1">
      <c r="A1088" s="31" t="s">
        <v>256</v>
      </c>
      <c r="B1088" s="20" t="s">
        <v>46</v>
      </c>
      <c r="C1088" s="20" t="s">
        <v>387</v>
      </c>
      <c r="D1088" s="20" t="s">
        <v>381</v>
      </c>
      <c r="E1088" s="19"/>
      <c r="F1088" s="21"/>
      <c r="G1088" s="10">
        <f>G1093+G1101+G1097+G1089</f>
        <v>2215</v>
      </c>
      <c r="H1088" s="10">
        <f>H1093+H1101+H1097+H1089</f>
        <v>3643</v>
      </c>
      <c r="I1088" s="10">
        <f>I1093+I1101+I1097+I1089</f>
        <v>3359</v>
      </c>
      <c r="J1088" s="99">
        <f t="shared" si="150"/>
        <v>92.2042272852045</v>
      </c>
    </row>
    <row r="1089" spans="1:10" ht="16.5" customHeight="1">
      <c r="A1089" s="31" t="s">
        <v>371</v>
      </c>
      <c r="B1089" s="26" t="s">
        <v>46</v>
      </c>
      <c r="C1089" s="26" t="s">
        <v>387</v>
      </c>
      <c r="D1089" s="26" t="s">
        <v>381</v>
      </c>
      <c r="E1089" s="26" t="s">
        <v>427</v>
      </c>
      <c r="F1089" s="28"/>
      <c r="G1089" s="10">
        <f aca="true" t="shared" si="154" ref="G1089:I1091">G1090</f>
        <v>0</v>
      </c>
      <c r="H1089" s="10">
        <f t="shared" si="154"/>
        <v>1428</v>
      </c>
      <c r="I1089" s="10">
        <f t="shared" si="154"/>
        <v>1428</v>
      </c>
      <c r="J1089" s="99">
        <f t="shared" si="150"/>
        <v>100</v>
      </c>
    </row>
    <row r="1090" spans="1:10" ht="16.5" customHeight="1">
      <c r="A1090" s="8" t="s">
        <v>426</v>
      </c>
      <c r="B1090" s="26" t="s">
        <v>46</v>
      </c>
      <c r="C1090" s="26" t="s">
        <v>387</v>
      </c>
      <c r="D1090" s="26" t="s">
        <v>381</v>
      </c>
      <c r="E1090" s="26" t="s">
        <v>428</v>
      </c>
      <c r="F1090" s="28"/>
      <c r="G1090" s="10">
        <f t="shared" si="154"/>
        <v>0</v>
      </c>
      <c r="H1090" s="10">
        <f t="shared" si="154"/>
        <v>1428</v>
      </c>
      <c r="I1090" s="10">
        <f t="shared" si="154"/>
        <v>1428</v>
      </c>
      <c r="J1090" s="99">
        <f t="shared" si="150"/>
        <v>100</v>
      </c>
    </row>
    <row r="1091" spans="1:10" ht="16.5" customHeight="1">
      <c r="A1091" s="67" t="s">
        <v>469</v>
      </c>
      <c r="B1091" s="26" t="s">
        <v>46</v>
      </c>
      <c r="C1091" s="26" t="s">
        <v>387</v>
      </c>
      <c r="D1091" s="26" t="s">
        <v>381</v>
      </c>
      <c r="E1091" s="26" t="s">
        <v>311</v>
      </c>
      <c r="F1091" s="28"/>
      <c r="G1091" s="10">
        <f t="shared" si="154"/>
        <v>0</v>
      </c>
      <c r="H1091" s="10">
        <f t="shared" si="154"/>
        <v>1428</v>
      </c>
      <c r="I1091" s="10">
        <f t="shared" si="154"/>
        <v>1428</v>
      </c>
      <c r="J1091" s="99">
        <f t="shared" si="150"/>
        <v>100</v>
      </c>
    </row>
    <row r="1092" spans="1:10" ht="16.5" customHeight="1">
      <c r="A1092" s="31" t="s">
        <v>258</v>
      </c>
      <c r="B1092" s="26" t="s">
        <v>46</v>
      </c>
      <c r="C1092" s="26" t="s">
        <v>387</v>
      </c>
      <c r="D1092" s="26" t="s">
        <v>381</v>
      </c>
      <c r="E1092" s="26" t="s">
        <v>312</v>
      </c>
      <c r="F1092" s="28" t="s">
        <v>363</v>
      </c>
      <c r="G1092" s="10">
        <v>0</v>
      </c>
      <c r="H1092" s="10">
        <v>1428</v>
      </c>
      <c r="I1092" s="10">
        <v>1428</v>
      </c>
      <c r="J1092" s="99">
        <f t="shared" si="150"/>
        <v>100</v>
      </c>
    </row>
    <row r="1093" spans="1:10" ht="16.5" customHeight="1">
      <c r="A1093" s="31" t="s">
        <v>257</v>
      </c>
      <c r="B1093" s="20" t="s">
        <v>46</v>
      </c>
      <c r="C1093" s="20" t="s">
        <v>387</v>
      </c>
      <c r="D1093" s="20" t="s">
        <v>381</v>
      </c>
      <c r="E1093" s="19" t="s">
        <v>259</v>
      </c>
      <c r="F1093" s="21"/>
      <c r="G1093" s="10">
        <f aca="true" t="shared" si="155" ref="G1093:I1095">G1094</f>
        <v>1180</v>
      </c>
      <c r="H1093" s="10">
        <f t="shared" si="155"/>
        <v>1180</v>
      </c>
      <c r="I1093" s="10">
        <f t="shared" si="155"/>
        <v>899</v>
      </c>
      <c r="J1093" s="99">
        <f t="shared" si="150"/>
        <v>76.1864406779661</v>
      </c>
    </row>
    <row r="1094" spans="1:10" ht="49.5" customHeight="1">
      <c r="A1094" s="8" t="s">
        <v>300</v>
      </c>
      <c r="B1094" s="20" t="s">
        <v>46</v>
      </c>
      <c r="C1094" s="20" t="s">
        <v>387</v>
      </c>
      <c r="D1094" s="20" t="s">
        <v>381</v>
      </c>
      <c r="E1094" s="19" t="s">
        <v>301</v>
      </c>
      <c r="F1094" s="21"/>
      <c r="G1094" s="10">
        <f t="shared" si="155"/>
        <v>1180</v>
      </c>
      <c r="H1094" s="10">
        <f t="shared" si="155"/>
        <v>1180</v>
      </c>
      <c r="I1094" s="10">
        <f t="shared" si="155"/>
        <v>899</v>
      </c>
      <c r="J1094" s="99">
        <f t="shared" si="150"/>
        <v>76.1864406779661</v>
      </c>
    </row>
    <row r="1095" spans="1:10" ht="32.25" customHeight="1">
      <c r="A1095" s="8" t="s">
        <v>516</v>
      </c>
      <c r="B1095" s="20" t="s">
        <v>46</v>
      </c>
      <c r="C1095" s="20" t="s">
        <v>387</v>
      </c>
      <c r="D1095" s="20" t="s">
        <v>381</v>
      </c>
      <c r="E1095" s="19" t="s">
        <v>302</v>
      </c>
      <c r="F1095" s="21"/>
      <c r="G1095" s="10">
        <f t="shared" si="155"/>
        <v>1180</v>
      </c>
      <c r="H1095" s="10">
        <f t="shared" si="155"/>
        <v>1180</v>
      </c>
      <c r="I1095" s="10">
        <f t="shared" si="155"/>
        <v>899</v>
      </c>
      <c r="J1095" s="99">
        <f t="shared" si="150"/>
        <v>76.1864406779661</v>
      </c>
    </row>
    <row r="1096" spans="1:10" ht="16.5" customHeight="1">
      <c r="A1096" s="31" t="s">
        <v>258</v>
      </c>
      <c r="B1096" s="20" t="s">
        <v>46</v>
      </c>
      <c r="C1096" s="20" t="s">
        <v>387</v>
      </c>
      <c r="D1096" s="20" t="s">
        <v>381</v>
      </c>
      <c r="E1096" s="19" t="s">
        <v>302</v>
      </c>
      <c r="F1096" s="21" t="s">
        <v>363</v>
      </c>
      <c r="G1096" s="10">
        <v>1180</v>
      </c>
      <c r="H1096" s="10">
        <v>1180</v>
      </c>
      <c r="I1096" s="10">
        <v>899</v>
      </c>
      <c r="J1096" s="99">
        <f t="shared" si="150"/>
        <v>76.1864406779661</v>
      </c>
    </row>
    <row r="1097" spans="1:10" ht="16.5" customHeight="1">
      <c r="A1097" s="64" t="s">
        <v>219</v>
      </c>
      <c r="B1097" s="20" t="s">
        <v>46</v>
      </c>
      <c r="C1097" s="20" t="s">
        <v>387</v>
      </c>
      <c r="D1097" s="20" t="s">
        <v>381</v>
      </c>
      <c r="E1097" s="19" t="s">
        <v>548</v>
      </c>
      <c r="F1097" s="21"/>
      <c r="G1097" s="10">
        <f aca="true" t="shared" si="156" ref="G1097:I1099">G1098</f>
        <v>35</v>
      </c>
      <c r="H1097" s="10">
        <f t="shared" si="156"/>
        <v>35</v>
      </c>
      <c r="I1097" s="10">
        <f t="shared" si="156"/>
        <v>32</v>
      </c>
      <c r="J1097" s="99">
        <f t="shared" si="150"/>
        <v>91.42857142857143</v>
      </c>
    </row>
    <row r="1098" spans="1:10" ht="49.5" customHeight="1">
      <c r="A1098" s="64" t="s">
        <v>640</v>
      </c>
      <c r="B1098" s="20" t="s">
        <v>46</v>
      </c>
      <c r="C1098" s="20" t="s">
        <v>387</v>
      </c>
      <c r="D1098" s="20" t="s">
        <v>381</v>
      </c>
      <c r="E1098" s="19" t="s">
        <v>642</v>
      </c>
      <c r="F1098" s="21"/>
      <c r="G1098" s="10">
        <f t="shared" si="156"/>
        <v>35</v>
      </c>
      <c r="H1098" s="10">
        <f t="shared" si="156"/>
        <v>35</v>
      </c>
      <c r="I1098" s="10">
        <f t="shared" si="156"/>
        <v>32</v>
      </c>
      <c r="J1098" s="99">
        <f t="shared" si="150"/>
        <v>91.42857142857143</v>
      </c>
    </row>
    <row r="1099" spans="1:10" ht="66" customHeight="1">
      <c r="A1099" s="64" t="s">
        <v>641</v>
      </c>
      <c r="B1099" s="20" t="s">
        <v>46</v>
      </c>
      <c r="C1099" s="20" t="s">
        <v>387</v>
      </c>
      <c r="D1099" s="20" t="s">
        <v>381</v>
      </c>
      <c r="E1099" s="19" t="s">
        <v>643</v>
      </c>
      <c r="F1099" s="21"/>
      <c r="G1099" s="10">
        <f t="shared" si="156"/>
        <v>35</v>
      </c>
      <c r="H1099" s="10">
        <f t="shared" si="156"/>
        <v>35</v>
      </c>
      <c r="I1099" s="10">
        <f t="shared" si="156"/>
        <v>32</v>
      </c>
      <c r="J1099" s="99">
        <f t="shared" si="150"/>
        <v>91.42857142857143</v>
      </c>
    </row>
    <row r="1100" spans="1:10" ht="16.5" customHeight="1">
      <c r="A1100" s="59" t="s">
        <v>258</v>
      </c>
      <c r="B1100" s="20" t="s">
        <v>46</v>
      </c>
      <c r="C1100" s="20" t="s">
        <v>387</v>
      </c>
      <c r="D1100" s="20" t="s">
        <v>381</v>
      </c>
      <c r="E1100" s="19" t="s">
        <v>643</v>
      </c>
      <c r="F1100" s="21" t="s">
        <v>363</v>
      </c>
      <c r="G1100" s="10">
        <v>35</v>
      </c>
      <c r="H1100" s="10">
        <v>35</v>
      </c>
      <c r="I1100" s="10">
        <v>32</v>
      </c>
      <c r="J1100" s="99">
        <f t="shared" si="150"/>
        <v>91.42857142857143</v>
      </c>
    </row>
    <row r="1101" spans="1:10" ht="16.5" customHeight="1">
      <c r="A1101" s="23" t="s">
        <v>199</v>
      </c>
      <c r="B1101" s="20" t="s">
        <v>46</v>
      </c>
      <c r="C1101" s="20" t="s">
        <v>387</v>
      </c>
      <c r="D1101" s="20" t="s">
        <v>381</v>
      </c>
      <c r="E1101" s="19" t="s">
        <v>417</v>
      </c>
      <c r="F1101" s="53"/>
      <c r="G1101" s="10">
        <f aca="true" t="shared" si="157" ref="G1101:I1103">G1102</f>
        <v>1000</v>
      </c>
      <c r="H1101" s="10">
        <f t="shared" si="157"/>
        <v>1000</v>
      </c>
      <c r="I1101" s="10">
        <f t="shared" si="157"/>
        <v>1000</v>
      </c>
      <c r="J1101" s="99">
        <f aca="true" t="shared" si="158" ref="J1101:J1164">I1101/H1101*100</f>
        <v>100</v>
      </c>
    </row>
    <row r="1102" spans="1:10" ht="32.25" customHeight="1">
      <c r="A1102" s="59" t="s">
        <v>517</v>
      </c>
      <c r="B1102" s="20" t="s">
        <v>46</v>
      </c>
      <c r="C1102" s="54" t="s">
        <v>387</v>
      </c>
      <c r="D1102" s="54" t="s">
        <v>381</v>
      </c>
      <c r="E1102" s="55" t="s">
        <v>447</v>
      </c>
      <c r="F1102" s="53"/>
      <c r="G1102" s="10">
        <f t="shared" si="157"/>
        <v>1000</v>
      </c>
      <c r="H1102" s="10">
        <f t="shared" si="157"/>
        <v>1000</v>
      </c>
      <c r="I1102" s="10">
        <f t="shared" si="157"/>
        <v>1000</v>
      </c>
      <c r="J1102" s="99">
        <f t="shared" si="158"/>
        <v>100</v>
      </c>
    </row>
    <row r="1103" spans="1:10" ht="32.25" customHeight="1">
      <c r="A1103" s="59" t="s">
        <v>518</v>
      </c>
      <c r="B1103" s="20" t="s">
        <v>46</v>
      </c>
      <c r="C1103" s="54" t="s">
        <v>387</v>
      </c>
      <c r="D1103" s="54" t="s">
        <v>381</v>
      </c>
      <c r="E1103" s="55" t="s">
        <v>519</v>
      </c>
      <c r="F1103" s="53"/>
      <c r="G1103" s="10">
        <f t="shared" si="157"/>
        <v>1000</v>
      </c>
      <c r="H1103" s="10">
        <f t="shared" si="157"/>
        <v>1000</v>
      </c>
      <c r="I1103" s="10">
        <f t="shared" si="157"/>
        <v>1000</v>
      </c>
      <c r="J1103" s="99">
        <f t="shared" si="158"/>
        <v>100</v>
      </c>
    </row>
    <row r="1104" spans="1:10" ht="16.5" customHeight="1">
      <c r="A1104" s="59" t="s">
        <v>258</v>
      </c>
      <c r="B1104" s="20" t="s">
        <v>46</v>
      </c>
      <c r="C1104" s="54" t="s">
        <v>387</v>
      </c>
      <c r="D1104" s="54" t="s">
        <v>381</v>
      </c>
      <c r="E1104" s="55" t="s">
        <v>519</v>
      </c>
      <c r="F1104" s="53" t="s">
        <v>363</v>
      </c>
      <c r="G1104" s="10">
        <v>1000</v>
      </c>
      <c r="H1104" s="10">
        <v>1000</v>
      </c>
      <c r="I1104" s="10">
        <v>1000</v>
      </c>
      <c r="J1104" s="99">
        <f t="shared" si="158"/>
        <v>100</v>
      </c>
    </row>
    <row r="1105" spans="1:10" ht="12" customHeight="1">
      <c r="A1105" s="64"/>
      <c r="B1105" s="26"/>
      <c r="C1105" s="26"/>
      <c r="D1105" s="26"/>
      <c r="E1105" s="27"/>
      <c r="F1105" s="28"/>
      <c r="G1105" s="10"/>
      <c r="H1105" s="10"/>
      <c r="I1105" s="10"/>
      <c r="J1105" s="99"/>
    </row>
    <row r="1106" spans="1:10" ht="16.5" customHeight="1">
      <c r="A1106" s="31" t="s">
        <v>264</v>
      </c>
      <c r="B1106" s="20" t="s">
        <v>46</v>
      </c>
      <c r="C1106" s="20" t="s">
        <v>387</v>
      </c>
      <c r="D1106" s="20" t="s">
        <v>383</v>
      </c>
      <c r="E1106" s="19"/>
      <c r="F1106" s="33"/>
      <c r="G1106" s="10">
        <f>G1111+G1114+G1107</f>
        <v>25876</v>
      </c>
      <c r="H1106" s="10">
        <f>H1111+H1114+H1107</f>
        <v>30717</v>
      </c>
      <c r="I1106" s="10">
        <f>I1111+I1114+I1107</f>
        <v>30500</v>
      </c>
      <c r="J1106" s="99">
        <f t="shared" si="158"/>
        <v>99.29355080248722</v>
      </c>
    </row>
    <row r="1107" spans="1:10" ht="16.5" customHeight="1">
      <c r="A1107" s="31" t="s">
        <v>371</v>
      </c>
      <c r="B1107" s="26" t="s">
        <v>46</v>
      </c>
      <c r="C1107" s="26" t="s">
        <v>387</v>
      </c>
      <c r="D1107" s="26" t="s">
        <v>383</v>
      </c>
      <c r="E1107" s="26" t="s">
        <v>427</v>
      </c>
      <c r="F1107" s="28"/>
      <c r="G1107" s="10">
        <f aca="true" t="shared" si="159" ref="G1107:I1109">G1108</f>
        <v>0</v>
      </c>
      <c r="H1107" s="10">
        <f t="shared" si="159"/>
        <v>4871</v>
      </c>
      <c r="I1107" s="10">
        <f t="shared" si="159"/>
        <v>4858</v>
      </c>
      <c r="J1107" s="99">
        <f t="shared" si="158"/>
        <v>99.7331143502361</v>
      </c>
    </row>
    <row r="1108" spans="1:10" ht="16.5" customHeight="1">
      <c r="A1108" s="8" t="s">
        <v>426</v>
      </c>
      <c r="B1108" s="26" t="s">
        <v>46</v>
      </c>
      <c r="C1108" s="26" t="s">
        <v>387</v>
      </c>
      <c r="D1108" s="26" t="s">
        <v>383</v>
      </c>
      <c r="E1108" s="26" t="s">
        <v>428</v>
      </c>
      <c r="F1108" s="28"/>
      <c r="G1108" s="10">
        <f t="shared" si="159"/>
        <v>0</v>
      </c>
      <c r="H1108" s="10">
        <f t="shared" si="159"/>
        <v>4871</v>
      </c>
      <c r="I1108" s="10">
        <f t="shared" si="159"/>
        <v>4858</v>
      </c>
      <c r="J1108" s="99">
        <f t="shared" si="158"/>
        <v>99.7331143502361</v>
      </c>
    </row>
    <row r="1109" spans="1:10" ht="16.5" customHeight="1">
      <c r="A1109" s="67" t="s">
        <v>469</v>
      </c>
      <c r="B1109" s="26" t="s">
        <v>46</v>
      </c>
      <c r="C1109" s="26" t="s">
        <v>387</v>
      </c>
      <c r="D1109" s="26" t="s">
        <v>383</v>
      </c>
      <c r="E1109" s="26" t="s">
        <v>311</v>
      </c>
      <c r="F1109" s="28"/>
      <c r="G1109" s="10">
        <f t="shared" si="159"/>
        <v>0</v>
      </c>
      <c r="H1109" s="10">
        <f t="shared" si="159"/>
        <v>4871</v>
      </c>
      <c r="I1109" s="10">
        <f t="shared" si="159"/>
        <v>4858</v>
      </c>
      <c r="J1109" s="99">
        <f t="shared" si="158"/>
        <v>99.7331143502361</v>
      </c>
    </row>
    <row r="1110" spans="1:10" ht="16.5" customHeight="1">
      <c r="A1110" s="60" t="s">
        <v>419</v>
      </c>
      <c r="B1110" s="26" t="s">
        <v>46</v>
      </c>
      <c r="C1110" s="26" t="s">
        <v>387</v>
      </c>
      <c r="D1110" s="26" t="s">
        <v>383</v>
      </c>
      <c r="E1110" s="26" t="s">
        <v>312</v>
      </c>
      <c r="F1110" s="28" t="s">
        <v>420</v>
      </c>
      <c r="G1110" s="10">
        <v>0</v>
      </c>
      <c r="H1110" s="10">
        <v>4871</v>
      </c>
      <c r="I1110" s="10">
        <v>4858</v>
      </c>
      <c r="J1110" s="99">
        <f t="shared" si="158"/>
        <v>99.7331143502361</v>
      </c>
    </row>
    <row r="1111" spans="1:10" ht="32.25" customHeight="1">
      <c r="A1111" s="31" t="s">
        <v>450</v>
      </c>
      <c r="B1111" s="20" t="s">
        <v>46</v>
      </c>
      <c r="C1111" s="20" t="s">
        <v>387</v>
      </c>
      <c r="D1111" s="20" t="s">
        <v>383</v>
      </c>
      <c r="E1111" s="19" t="s">
        <v>451</v>
      </c>
      <c r="F1111" s="21"/>
      <c r="G1111" s="10">
        <f aca="true" t="shared" si="160" ref="G1111:I1112">G1112</f>
        <v>500</v>
      </c>
      <c r="H1111" s="10">
        <f t="shared" si="160"/>
        <v>500</v>
      </c>
      <c r="I1111" s="10">
        <f t="shared" si="160"/>
        <v>500</v>
      </c>
      <c r="J1111" s="99">
        <f t="shared" si="158"/>
        <v>100</v>
      </c>
    </row>
    <row r="1112" spans="1:10" ht="16.5" customHeight="1">
      <c r="A1112" s="8" t="s">
        <v>372</v>
      </c>
      <c r="B1112" s="20" t="s">
        <v>46</v>
      </c>
      <c r="C1112" s="20" t="s">
        <v>387</v>
      </c>
      <c r="D1112" s="20" t="s">
        <v>383</v>
      </c>
      <c r="E1112" s="19" t="s">
        <v>452</v>
      </c>
      <c r="F1112" s="21"/>
      <c r="G1112" s="10">
        <f t="shared" si="160"/>
        <v>500</v>
      </c>
      <c r="H1112" s="10">
        <f t="shared" si="160"/>
        <v>500</v>
      </c>
      <c r="I1112" s="10">
        <f t="shared" si="160"/>
        <v>500</v>
      </c>
      <c r="J1112" s="99">
        <f t="shared" si="158"/>
        <v>100</v>
      </c>
    </row>
    <row r="1113" spans="1:10" ht="16.5" customHeight="1">
      <c r="A1113" s="60" t="s">
        <v>419</v>
      </c>
      <c r="B1113" s="20" t="s">
        <v>46</v>
      </c>
      <c r="C1113" s="20" t="s">
        <v>387</v>
      </c>
      <c r="D1113" s="20" t="s">
        <v>383</v>
      </c>
      <c r="E1113" s="19" t="s">
        <v>452</v>
      </c>
      <c r="F1113" s="21" t="s">
        <v>420</v>
      </c>
      <c r="G1113" s="10">
        <v>500</v>
      </c>
      <c r="H1113" s="10">
        <v>500</v>
      </c>
      <c r="I1113" s="10">
        <v>500</v>
      </c>
      <c r="J1113" s="99">
        <f t="shared" si="158"/>
        <v>100</v>
      </c>
    </row>
    <row r="1114" spans="1:10" ht="16.5" customHeight="1">
      <c r="A1114" s="23" t="s">
        <v>199</v>
      </c>
      <c r="B1114" s="20" t="s">
        <v>46</v>
      </c>
      <c r="C1114" s="20" t="s">
        <v>387</v>
      </c>
      <c r="D1114" s="20" t="s">
        <v>383</v>
      </c>
      <c r="E1114" s="19" t="s">
        <v>417</v>
      </c>
      <c r="F1114" s="21"/>
      <c r="G1114" s="10">
        <f>G1115+G1118+G1126+G1128+G1132+G1135+G1140+G1124+G1122+G1130</f>
        <v>25376</v>
      </c>
      <c r="H1114" s="10">
        <f>H1115+H1118+H1126+H1128+H1132+H1135+H1140+H1124+H1122+H1130</f>
        <v>25346</v>
      </c>
      <c r="I1114" s="10">
        <f>I1115+I1118+I1126+I1128+I1132+I1135+I1140+I1124+I1122+I1130</f>
        <v>25142</v>
      </c>
      <c r="J1114" s="99">
        <f t="shared" si="158"/>
        <v>99.19513927246902</v>
      </c>
    </row>
    <row r="1115" spans="1:10" ht="16.5" customHeight="1">
      <c r="A1115" s="31" t="s">
        <v>562</v>
      </c>
      <c r="B1115" s="20" t="s">
        <v>46</v>
      </c>
      <c r="C1115" s="26" t="s">
        <v>387</v>
      </c>
      <c r="D1115" s="26" t="s">
        <v>383</v>
      </c>
      <c r="E1115" s="27" t="s">
        <v>446</v>
      </c>
      <c r="F1115" s="28"/>
      <c r="G1115" s="10">
        <f>G1116+G1117</f>
        <v>1059</v>
      </c>
      <c r="H1115" s="10">
        <f>H1116+H1117</f>
        <v>1059</v>
      </c>
      <c r="I1115" s="10">
        <f>I1116+I1117</f>
        <v>1059</v>
      </c>
      <c r="J1115" s="99">
        <f t="shared" si="158"/>
        <v>100</v>
      </c>
    </row>
    <row r="1116" spans="1:10" ht="18" customHeight="1" hidden="1">
      <c r="A1116" s="64" t="s">
        <v>232</v>
      </c>
      <c r="B1116" s="20" t="s">
        <v>46</v>
      </c>
      <c r="C1116" s="54" t="s">
        <v>387</v>
      </c>
      <c r="D1116" s="54" t="s">
        <v>383</v>
      </c>
      <c r="E1116" s="55" t="s">
        <v>446</v>
      </c>
      <c r="F1116" s="56" t="s">
        <v>234</v>
      </c>
      <c r="G1116" s="10">
        <f>282-282</f>
        <v>0</v>
      </c>
      <c r="H1116" s="10">
        <f>282-282</f>
        <v>0</v>
      </c>
      <c r="I1116" s="10">
        <f>282-282</f>
        <v>0</v>
      </c>
      <c r="J1116" s="99" t="e">
        <f t="shared" si="158"/>
        <v>#DIV/0!</v>
      </c>
    </row>
    <row r="1117" spans="1:10" ht="16.5" customHeight="1">
      <c r="A1117" s="60" t="s">
        <v>419</v>
      </c>
      <c r="B1117" s="20" t="s">
        <v>46</v>
      </c>
      <c r="C1117" s="54" t="s">
        <v>387</v>
      </c>
      <c r="D1117" s="54" t="s">
        <v>383</v>
      </c>
      <c r="E1117" s="55" t="s">
        <v>446</v>
      </c>
      <c r="F1117" s="56" t="s">
        <v>420</v>
      </c>
      <c r="G1117" s="10">
        <f>2030-971</f>
        <v>1059</v>
      </c>
      <c r="H1117" s="10">
        <f>2030-971</f>
        <v>1059</v>
      </c>
      <c r="I1117" s="10">
        <f>2030-971</f>
        <v>1059</v>
      </c>
      <c r="J1117" s="99">
        <f t="shared" si="158"/>
        <v>100</v>
      </c>
    </row>
    <row r="1118" spans="1:10" ht="32.25" customHeight="1">
      <c r="A1118" s="59" t="s">
        <v>517</v>
      </c>
      <c r="B1118" s="20" t="s">
        <v>46</v>
      </c>
      <c r="C1118" s="54" t="s">
        <v>387</v>
      </c>
      <c r="D1118" s="54" t="s">
        <v>383</v>
      </c>
      <c r="E1118" s="55" t="s">
        <v>447</v>
      </c>
      <c r="F1118" s="56"/>
      <c r="G1118" s="10">
        <f>G1119</f>
        <v>255</v>
      </c>
      <c r="H1118" s="10">
        <f>H1119</f>
        <v>255</v>
      </c>
      <c r="I1118" s="10">
        <f>I1119</f>
        <v>255</v>
      </c>
      <c r="J1118" s="99">
        <f t="shared" si="158"/>
        <v>100</v>
      </c>
    </row>
    <row r="1119" spans="1:10" ht="32.25" customHeight="1">
      <c r="A1119" s="31" t="s">
        <v>61</v>
      </c>
      <c r="B1119" s="20" t="s">
        <v>46</v>
      </c>
      <c r="C1119" s="54" t="s">
        <v>387</v>
      </c>
      <c r="D1119" s="54" t="s">
        <v>383</v>
      </c>
      <c r="E1119" s="55" t="s">
        <v>467</v>
      </c>
      <c r="F1119" s="56"/>
      <c r="G1119" s="10">
        <f>G1120+G1121</f>
        <v>255</v>
      </c>
      <c r="H1119" s="10">
        <f>H1120+H1121</f>
        <v>255</v>
      </c>
      <c r="I1119" s="10">
        <f>I1120+I1121</f>
        <v>255</v>
      </c>
      <c r="J1119" s="99">
        <f t="shared" si="158"/>
        <v>100</v>
      </c>
    </row>
    <row r="1120" spans="1:10" ht="16.5" customHeight="1">
      <c r="A1120" s="64" t="s">
        <v>232</v>
      </c>
      <c r="B1120" s="20" t="s">
        <v>46</v>
      </c>
      <c r="C1120" s="54" t="s">
        <v>387</v>
      </c>
      <c r="D1120" s="54" t="s">
        <v>383</v>
      </c>
      <c r="E1120" s="55" t="s">
        <v>467</v>
      </c>
      <c r="F1120" s="56" t="s">
        <v>234</v>
      </c>
      <c r="G1120" s="10">
        <f>1513-1308</f>
        <v>205</v>
      </c>
      <c r="H1120" s="10">
        <f>1513-1308</f>
        <v>205</v>
      </c>
      <c r="I1120" s="10">
        <f>1513-1308</f>
        <v>205</v>
      </c>
      <c r="J1120" s="99">
        <f t="shared" si="158"/>
        <v>100</v>
      </c>
    </row>
    <row r="1121" spans="1:10" ht="16.5" customHeight="1">
      <c r="A1121" s="64" t="s">
        <v>372</v>
      </c>
      <c r="B1121" s="20" t="s">
        <v>46</v>
      </c>
      <c r="C1121" s="54" t="s">
        <v>387</v>
      </c>
      <c r="D1121" s="54" t="s">
        <v>383</v>
      </c>
      <c r="E1121" s="55" t="s">
        <v>467</v>
      </c>
      <c r="F1121" s="56" t="s">
        <v>520</v>
      </c>
      <c r="G1121" s="10">
        <f>195-145</f>
        <v>50</v>
      </c>
      <c r="H1121" s="10">
        <f>195-145</f>
        <v>50</v>
      </c>
      <c r="I1121" s="10">
        <f>195-145</f>
        <v>50</v>
      </c>
      <c r="J1121" s="99">
        <f t="shared" si="158"/>
        <v>100</v>
      </c>
    </row>
    <row r="1122" spans="1:10" ht="49.5" customHeight="1">
      <c r="A1122" s="31" t="s">
        <v>515</v>
      </c>
      <c r="B1122" s="20" t="s">
        <v>46</v>
      </c>
      <c r="C1122" s="54" t="s">
        <v>387</v>
      </c>
      <c r="D1122" s="54" t="s">
        <v>383</v>
      </c>
      <c r="E1122" s="55" t="s">
        <v>213</v>
      </c>
      <c r="F1122" s="56"/>
      <c r="G1122" s="9">
        <f>G1123</f>
        <v>3000</v>
      </c>
      <c r="H1122" s="9">
        <f>H1123</f>
        <v>3000</v>
      </c>
      <c r="I1122" s="9">
        <f>I1123</f>
        <v>3000</v>
      </c>
      <c r="J1122" s="99">
        <f t="shared" si="158"/>
        <v>100</v>
      </c>
    </row>
    <row r="1123" spans="1:10" ht="16.5" customHeight="1">
      <c r="A1123" s="64" t="s">
        <v>232</v>
      </c>
      <c r="B1123" s="20" t="s">
        <v>46</v>
      </c>
      <c r="C1123" s="54" t="s">
        <v>387</v>
      </c>
      <c r="D1123" s="54" t="s">
        <v>383</v>
      </c>
      <c r="E1123" s="55" t="s">
        <v>213</v>
      </c>
      <c r="F1123" s="56" t="s">
        <v>234</v>
      </c>
      <c r="G1123" s="9">
        <f>3000</f>
        <v>3000</v>
      </c>
      <c r="H1123" s="9">
        <f>3000</f>
        <v>3000</v>
      </c>
      <c r="I1123" s="9">
        <f>3000</f>
        <v>3000</v>
      </c>
      <c r="J1123" s="99">
        <f t="shared" si="158"/>
        <v>100</v>
      </c>
    </row>
    <row r="1124" spans="1:10" ht="48.75" customHeight="1" hidden="1">
      <c r="A1124" s="23" t="s">
        <v>547</v>
      </c>
      <c r="B1124" s="20" t="s">
        <v>46</v>
      </c>
      <c r="C1124" s="26" t="s">
        <v>387</v>
      </c>
      <c r="D1124" s="26" t="s">
        <v>383</v>
      </c>
      <c r="E1124" s="27" t="s">
        <v>418</v>
      </c>
      <c r="F1124" s="28"/>
      <c r="G1124" s="10">
        <f>G1125</f>
        <v>0</v>
      </c>
      <c r="H1124" s="10">
        <f>H1125</f>
        <v>0</v>
      </c>
      <c r="I1124" s="10">
        <f>I1125</f>
        <v>0</v>
      </c>
      <c r="J1124" s="99" t="e">
        <f t="shared" si="158"/>
        <v>#DIV/0!</v>
      </c>
    </row>
    <row r="1125" spans="1:10" ht="18" customHeight="1" hidden="1">
      <c r="A1125" s="64" t="s">
        <v>232</v>
      </c>
      <c r="B1125" s="20" t="s">
        <v>46</v>
      </c>
      <c r="C1125" s="26" t="s">
        <v>387</v>
      </c>
      <c r="D1125" s="26" t="s">
        <v>383</v>
      </c>
      <c r="E1125" s="27" t="s">
        <v>418</v>
      </c>
      <c r="F1125" s="28" t="s">
        <v>234</v>
      </c>
      <c r="G1125" s="10">
        <f>40-40</f>
        <v>0</v>
      </c>
      <c r="H1125" s="10">
        <f>40-40</f>
        <v>0</v>
      </c>
      <c r="I1125" s="10">
        <f>40-40</f>
        <v>0</v>
      </c>
      <c r="J1125" s="99" t="e">
        <f t="shared" si="158"/>
        <v>#DIV/0!</v>
      </c>
    </row>
    <row r="1126" spans="1:10" ht="32.25" customHeight="1" hidden="1">
      <c r="A1126" s="31" t="s">
        <v>494</v>
      </c>
      <c r="B1126" s="20" t="s">
        <v>46</v>
      </c>
      <c r="C1126" s="54" t="s">
        <v>387</v>
      </c>
      <c r="D1126" s="54" t="s">
        <v>383</v>
      </c>
      <c r="E1126" s="27" t="s">
        <v>237</v>
      </c>
      <c r="F1126" s="28"/>
      <c r="G1126" s="10">
        <f>G1127</f>
        <v>0</v>
      </c>
      <c r="H1126" s="10">
        <f>H1127</f>
        <v>0</v>
      </c>
      <c r="I1126" s="10">
        <f>I1127</f>
        <v>0</v>
      </c>
      <c r="J1126" s="99" t="e">
        <f t="shared" si="158"/>
        <v>#DIV/0!</v>
      </c>
    </row>
    <row r="1127" spans="1:10" ht="18" customHeight="1" hidden="1">
      <c r="A1127" s="64" t="s">
        <v>232</v>
      </c>
      <c r="B1127" s="20" t="s">
        <v>46</v>
      </c>
      <c r="C1127" s="54" t="s">
        <v>387</v>
      </c>
      <c r="D1127" s="54" t="s">
        <v>383</v>
      </c>
      <c r="E1127" s="27" t="s">
        <v>237</v>
      </c>
      <c r="F1127" s="28" t="s">
        <v>234</v>
      </c>
      <c r="G1127" s="10">
        <f>6-6</f>
        <v>0</v>
      </c>
      <c r="H1127" s="10">
        <f>6-6</f>
        <v>0</v>
      </c>
      <c r="I1127" s="10">
        <f>6-6</f>
        <v>0</v>
      </c>
      <c r="J1127" s="99" t="e">
        <f t="shared" si="158"/>
        <v>#DIV/0!</v>
      </c>
    </row>
    <row r="1128" spans="1:10" ht="32.25" customHeight="1">
      <c r="A1128" s="60" t="s">
        <v>495</v>
      </c>
      <c r="B1128" s="20" t="s">
        <v>46</v>
      </c>
      <c r="C1128" s="54" t="s">
        <v>387</v>
      </c>
      <c r="D1128" s="54" t="s">
        <v>383</v>
      </c>
      <c r="E1128" s="54" t="s">
        <v>448</v>
      </c>
      <c r="F1128" s="56"/>
      <c r="G1128" s="10">
        <f>G1129</f>
        <v>50</v>
      </c>
      <c r="H1128" s="10">
        <f>H1129</f>
        <v>50</v>
      </c>
      <c r="I1128" s="10">
        <f>I1129</f>
        <v>50</v>
      </c>
      <c r="J1128" s="99">
        <f t="shared" si="158"/>
        <v>100</v>
      </c>
    </row>
    <row r="1129" spans="1:10" ht="16.5" customHeight="1">
      <c r="A1129" s="64" t="s">
        <v>232</v>
      </c>
      <c r="B1129" s="20" t="s">
        <v>46</v>
      </c>
      <c r="C1129" s="54" t="s">
        <v>387</v>
      </c>
      <c r="D1129" s="54" t="s">
        <v>383</v>
      </c>
      <c r="E1129" s="54" t="s">
        <v>448</v>
      </c>
      <c r="F1129" s="56" t="s">
        <v>234</v>
      </c>
      <c r="G1129" s="10">
        <f>60-60+50</f>
        <v>50</v>
      </c>
      <c r="H1129" s="10">
        <f>60-60+50</f>
        <v>50</v>
      </c>
      <c r="I1129" s="10">
        <f>60-60+50</f>
        <v>50</v>
      </c>
      <c r="J1129" s="99">
        <f t="shared" si="158"/>
        <v>100</v>
      </c>
    </row>
    <row r="1130" spans="1:10" ht="32.25" customHeight="1">
      <c r="A1130" s="23" t="s">
        <v>528</v>
      </c>
      <c r="B1130" s="26" t="s">
        <v>46</v>
      </c>
      <c r="C1130" s="26" t="s">
        <v>387</v>
      </c>
      <c r="D1130" s="26" t="s">
        <v>383</v>
      </c>
      <c r="E1130" s="27" t="s">
        <v>325</v>
      </c>
      <c r="F1130" s="28"/>
      <c r="G1130" s="10">
        <f>G1131</f>
        <v>0</v>
      </c>
      <c r="H1130" s="10">
        <f>H1131</f>
        <v>50</v>
      </c>
      <c r="I1130" s="10">
        <f>I1131</f>
        <v>50</v>
      </c>
      <c r="J1130" s="99">
        <f t="shared" si="158"/>
        <v>100</v>
      </c>
    </row>
    <row r="1131" spans="1:10" ht="16.5" customHeight="1">
      <c r="A1131" s="64" t="s">
        <v>232</v>
      </c>
      <c r="B1131" s="26" t="s">
        <v>46</v>
      </c>
      <c r="C1131" s="54" t="s">
        <v>387</v>
      </c>
      <c r="D1131" s="54" t="s">
        <v>383</v>
      </c>
      <c r="E1131" s="54" t="s">
        <v>325</v>
      </c>
      <c r="F1131" s="56" t="s">
        <v>234</v>
      </c>
      <c r="G1131" s="10">
        <v>0</v>
      </c>
      <c r="H1131" s="10">
        <v>50</v>
      </c>
      <c r="I1131" s="10">
        <v>50</v>
      </c>
      <c r="J1131" s="99">
        <f t="shared" si="158"/>
        <v>100</v>
      </c>
    </row>
    <row r="1132" spans="1:10" ht="32.25" customHeight="1">
      <c r="A1132" s="8" t="s">
        <v>501</v>
      </c>
      <c r="B1132" s="20" t="s">
        <v>46</v>
      </c>
      <c r="C1132" s="26" t="s">
        <v>387</v>
      </c>
      <c r="D1132" s="26" t="s">
        <v>383</v>
      </c>
      <c r="E1132" s="26" t="s">
        <v>242</v>
      </c>
      <c r="F1132" s="28"/>
      <c r="G1132" s="10">
        <f aca="true" t="shared" si="161" ref="G1132:I1133">G1133</f>
        <v>5000</v>
      </c>
      <c r="H1132" s="10">
        <f t="shared" si="161"/>
        <v>5000</v>
      </c>
      <c r="I1132" s="10">
        <f t="shared" si="161"/>
        <v>4962</v>
      </c>
      <c r="J1132" s="99">
        <f t="shared" si="158"/>
        <v>99.24</v>
      </c>
    </row>
    <row r="1133" spans="1:10" ht="32.25" customHeight="1">
      <c r="A1133" s="8" t="s">
        <v>521</v>
      </c>
      <c r="B1133" s="20" t="s">
        <v>46</v>
      </c>
      <c r="C1133" s="26" t="s">
        <v>387</v>
      </c>
      <c r="D1133" s="26" t="s">
        <v>383</v>
      </c>
      <c r="E1133" s="26" t="s">
        <v>522</v>
      </c>
      <c r="F1133" s="28"/>
      <c r="G1133" s="10">
        <f t="shared" si="161"/>
        <v>5000</v>
      </c>
      <c r="H1133" s="10">
        <f t="shared" si="161"/>
        <v>5000</v>
      </c>
      <c r="I1133" s="10">
        <f t="shared" si="161"/>
        <v>4962</v>
      </c>
      <c r="J1133" s="99">
        <f t="shared" si="158"/>
        <v>99.24</v>
      </c>
    </row>
    <row r="1134" spans="1:10" ht="16.5" customHeight="1">
      <c r="A1134" s="60" t="s">
        <v>419</v>
      </c>
      <c r="B1134" s="20" t="s">
        <v>46</v>
      </c>
      <c r="C1134" s="26" t="s">
        <v>387</v>
      </c>
      <c r="D1134" s="26" t="s">
        <v>383</v>
      </c>
      <c r="E1134" s="26" t="s">
        <v>522</v>
      </c>
      <c r="F1134" s="28" t="s">
        <v>420</v>
      </c>
      <c r="G1134" s="10">
        <f>8795-3795</f>
        <v>5000</v>
      </c>
      <c r="H1134" s="10">
        <f>8795-3795</f>
        <v>5000</v>
      </c>
      <c r="I1134" s="10">
        <v>4962</v>
      </c>
      <c r="J1134" s="99">
        <f t="shared" si="158"/>
        <v>99.24</v>
      </c>
    </row>
    <row r="1135" spans="1:10" ht="32.25" customHeight="1">
      <c r="A1135" s="31" t="s">
        <v>497</v>
      </c>
      <c r="B1135" s="20" t="s">
        <v>46</v>
      </c>
      <c r="C1135" s="54" t="s">
        <v>387</v>
      </c>
      <c r="D1135" s="54" t="s">
        <v>383</v>
      </c>
      <c r="E1135" s="26" t="s">
        <v>243</v>
      </c>
      <c r="F1135" s="21"/>
      <c r="G1135" s="10">
        <f>G1136+G1138</f>
        <v>1097</v>
      </c>
      <c r="H1135" s="10">
        <f>H1136+H1138</f>
        <v>1097</v>
      </c>
      <c r="I1135" s="10">
        <f>I1136+I1138</f>
        <v>1096</v>
      </c>
      <c r="J1135" s="99">
        <f t="shared" si="158"/>
        <v>99.90884229717412</v>
      </c>
    </row>
    <row r="1136" spans="1:10" ht="48" customHeight="1" hidden="1">
      <c r="A1136" s="31" t="s">
        <v>498</v>
      </c>
      <c r="B1136" s="20" t="s">
        <v>46</v>
      </c>
      <c r="C1136" s="54" t="s">
        <v>387</v>
      </c>
      <c r="D1136" s="54" t="s">
        <v>383</v>
      </c>
      <c r="E1136" s="26" t="s">
        <v>454</v>
      </c>
      <c r="F1136" s="21"/>
      <c r="G1136" s="10">
        <f>G1137</f>
        <v>0</v>
      </c>
      <c r="H1136" s="10">
        <f>H1137</f>
        <v>0</v>
      </c>
      <c r="I1136" s="10">
        <f>I1137</f>
        <v>0</v>
      </c>
      <c r="J1136" s="99" t="e">
        <f t="shared" si="158"/>
        <v>#DIV/0!</v>
      </c>
    </row>
    <row r="1137" spans="1:10" ht="3" customHeight="1" hidden="1">
      <c r="A1137" s="64" t="s">
        <v>232</v>
      </c>
      <c r="B1137" s="20" t="s">
        <v>46</v>
      </c>
      <c r="C1137" s="54" t="s">
        <v>387</v>
      </c>
      <c r="D1137" s="54" t="s">
        <v>383</v>
      </c>
      <c r="E1137" s="26" t="s">
        <v>454</v>
      </c>
      <c r="F1137" s="21" t="s">
        <v>234</v>
      </c>
      <c r="G1137" s="10">
        <f>27-27</f>
        <v>0</v>
      </c>
      <c r="H1137" s="10">
        <f>27-27</f>
        <v>0</v>
      </c>
      <c r="I1137" s="10">
        <f>27-27</f>
        <v>0</v>
      </c>
      <c r="J1137" s="99" t="e">
        <f t="shared" si="158"/>
        <v>#DIV/0!</v>
      </c>
    </row>
    <row r="1138" spans="1:10" ht="49.5" customHeight="1">
      <c r="A1138" s="64" t="s">
        <v>53</v>
      </c>
      <c r="B1138" s="20" t="s">
        <v>46</v>
      </c>
      <c r="C1138" s="54" t="s">
        <v>387</v>
      </c>
      <c r="D1138" s="54" t="s">
        <v>383</v>
      </c>
      <c r="E1138" s="26" t="s">
        <v>524</v>
      </c>
      <c r="F1138" s="21"/>
      <c r="G1138" s="10">
        <f>G1139</f>
        <v>1097</v>
      </c>
      <c r="H1138" s="10">
        <f>H1139</f>
        <v>1097</v>
      </c>
      <c r="I1138" s="10">
        <f>I1139</f>
        <v>1096</v>
      </c>
      <c r="J1138" s="99">
        <f t="shared" si="158"/>
        <v>99.90884229717412</v>
      </c>
    </row>
    <row r="1139" spans="1:10" ht="16.5" customHeight="1">
      <c r="A1139" s="60" t="s">
        <v>419</v>
      </c>
      <c r="B1139" s="20" t="s">
        <v>46</v>
      </c>
      <c r="C1139" s="54" t="s">
        <v>387</v>
      </c>
      <c r="D1139" s="54" t="s">
        <v>383</v>
      </c>
      <c r="E1139" s="26" t="s">
        <v>524</v>
      </c>
      <c r="F1139" s="21" t="s">
        <v>420</v>
      </c>
      <c r="G1139" s="10">
        <v>1097</v>
      </c>
      <c r="H1139" s="10">
        <v>1097</v>
      </c>
      <c r="I1139" s="10">
        <v>1096</v>
      </c>
      <c r="J1139" s="99">
        <f t="shared" si="158"/>
        <v>99.90884229717412</v>
      </c>
    </row>
    <row r="1140" spans="1:10" ht="32.25" customHeight="1">
      <c r="A1140" s="64" t="s">
        <v>185</v>
      </c>
      <c r="B1140" s="20" t="s">
        <v>46</v>
      </c>
      <c r="C1140" s="54" t="s">
        <v>387</v>
      </c>
      <c r="D1140" s="54" t="s">
        <v>383</v>
      </c>
      <c r="E1140" s="27" t="s">
        <v>479</v>
      </c>
      <c r="F1140" s="28"/>
      <c r="G1140" s="10">
        <f>G1141+G1142</f>
        <v>14915</v>
      </c>
      <c r="H1140" s="10">
        <f>H1141+H1142</f>
        <v>14835</v>
      </c>
      <c r="I1140" s="10">
        <f>I1141+I1142</f>
        <v>14670</v>
      </c>
      <c r="J1140" s="99">
        <f t="shared" si="158"/>
        <v>98.88776541961577</v>
      </c>
    </row>
    <row r="1141" spans="1:10" ht="16.5" customHeight="1">
      <c r="A1141" s="64" t="s">
        <v>232</v>
      </c>
      <c r="B1141" s="20" t="s">
        <v>46</v>
      </c>
      <c r="C1141" s="54" t="s">
        <v>387</v>
      </c>
      <c r="D1141" s="54" t="s">
        <v>383</v>
      </c>
      <c r="E1141" s="27" t="s">
        <v>479</v>
      </c>
      <c r="F1141" s="28" t="s">
        <v>234</v>
      </c>
      <c r="G1141" s="10">
        <f>683-683+683</f>
        <v>683</v>
      </c>
      <c r="H1141" s="10">
        <f>683-683+683</f>
        <v>683</v>
      </c>
      <c r="I1141" s="10">
        <f>683-683+683</f>
        <v>683</v>
      </c>
      <c r="J1141" s="99">
        <f t="shared" si="158"/>
        <v>100</v>
      </c>
    </row>
    <row r="1142" spans="1:10" ht="16.5" customHeight="1">
      <c r="A1142" s="64" t="s">
        <v>372</v>
      </c>
      <c r="B1142" s="20" t="s">
        <v>46</v>
      </c>
      <c r="C1142" s="54" t="s">
        <v>387</v>
      </c>
      <c r="D1142" s="54" t="s">
        <v>383</v>
      </c>
      <c r="E1142" s="27" t="s">
        <v>479</v>
      </c>
      <c r="F1142" s="28" t="s">
        <v>520</v>
      </c>
      <c r="G1142" s="10">
        <f>14232-9367+9367</f>
        <v>14232</v>
      </c>
      <c r="H1142" s="10">
        <v>14152</v>
      </c>
      <c r="I1142" s="10">
        <v>13987</v>
      </c>
      <c r="J1142" s="99">
        <f t="shared" si="158"/>
        <v>98.83408705483325</v>
      </c>
    </row>
    <row r="1143" spans="1:10" ht="12" customHeight="1">
      <c r="A1143" s="64"/>
      <c r="B1143" s="26"/>
      <c r="C1143" s="26"/>
      <c r="D1143" s="26"/>
      <c r="E1143" s="27"/>
      <c r="F1143" s="28"/>
      <c r="G1143" s="10"/>
      <c r="H1143" s="10"/>
      <c r="I1143" s="10"/>
      <c r="J1143" s="99"/>
    </row>
    <row r="1144" spans="1:10" ht="16.5" customHeight="1">
      <c r="A1144" s="40" t="s">
        <v>525</v>
      </c>
      <c r="B1144" s="30" t="s">
        <v>47</v>
      </c>
      <c r="C1144" s="30"/>
      <c r="D1144" s="30"/>
      <c r="E1144" s="15"/>
      <c r="F1144" s="33"/>
      <c r="G1144" s="5">
        <f>G1145+G1182</f>
        <v>210446</v>
      </c>
      <c r="H1144" s="5">
        <f>H1145+H1182</f>
        <v>215302</v>
      </c>
      <c r="I1144" s="5">
        <f>I1145+I1182</f>
        <v>215226</v>
      </c>
      <c r="J1144" s="103">
        <f t="shared" si="158"/>
        <v>99.96470074592897</v>
      </c>
    </row>
    <row r="1145" spans="1:10" ht="16.5" customHeight="1">
      <c r="A1145" s="62" t="s">
        <v>238</v>
      </c>
      <c r="B1145" s="30" t="s">
        <v>47</v>
      </c>
      <c r="C1145" s="30" t="s">
        <v>384</v>
      </c>
      <c r="D1145" s="30"/>
      <c r="E1145" s="15"/>
      <c r="F1145" s="33"/>
      <c r="G1145" s="5">
        <f>G1146+G1155+G1167</f>
        <v>70798</v>
      </c>
      <c r="H1145" s="5">
        <f>H1146+H1155+H1167</f>
        <v>71050</v>
      </c>
      <c r="I1145" s="5">
        <f>I1146+I1155+I1167</f>
        <v>71050</v>
      </c>
      <c r="J1145" s="103">
        <f t="shared" si="158"/>
        <v>100</v>
      </c>
    </row>
    <row r="1146" spans="1:10" ht="16.5" customHeight="1">
      <c r="A1146" s="31" t="s">
        <v>436</v>
      </c>
      <c r="B1146" s="26" t="s">
        <v>47</v>
      </c>
      <c r="C1146" s="26" t="s">
        <v>384</v>
      </c>
      <c r="D1146" s="26" t="s">
        <v>380</v>
      </c>
      <c r="E1146" s="27"/>
      <c r="F1146" s="28"/>
      <c r="G1146" s="10">
        <f>G1151+G1147</f>
        <v>69094</v>
      </c>
      <c r="H1146" s="10">
        <f>H1151+H1147</f>
        <v>69346</v>
      </c>
      <c r="I1146" s="10">
        <f>I1151+I1147</f>
        <v>69346</v>
      </c>
      <c r="J1146" s="99">
        <f t="shared" si="158"/>
        <v>100</v>
      </c>
    </row>
    <row r="1147" spans="1:10" ht="16.5" customHeight="1">
      <c r="A1147" s="31" t="s">
        <v>371</v>
      </c>
      <c r="B1147" s="26" t="s">
        <v>47</v>
      </c>
      <c r="C1147" s="26" t="s">
        <v>384</v>
      </c>
      <c r="D1147" s="26" t="s">
        <v>380</v>
      </c>
      <c r="E1147" s="26" t="s">
        <v>427</v>
      </c>
      <c r="F1147" s="28"/>
      <c r="G1147" s="10">
        <f aca="true" t="shared" si="162" ref="G1147:I1149">G1148</f>
        <v>0</v>
      </c>
      <c r="H1147" s="10">
        <f t="shared" si="162"/>
        <v>252</v>
      </c>
      <c r="I1147" s="10">
        <f t="shared" si="162"/>
        <v>252</v>
      </c>
      <c r="J1147" s="99">
        <f t="shared" si="158"/>
        <v>100</v>
      </c>
    </row>
    <row r="1148" spans="1:10" ht="16.5" customHeight="1">
      <c r="A1148" s="8" t="s">
        <v>426</v>
      </c>
      <c r="B1148" s="26" t="s">
        <v>47</v>
      </c>
      <c r="C1148" s="26" t="s">
        <v>384</v>
      </c>
      <c r="D1148" s="26" t="s">
        <v>380</v>
      </c>
      <c r="E1148" s="26" t="s">
        <v>428</v>
      </c>
      <c r="F1148" s="28"/>
      <c r="G1148" s="10">
        <f t="shared" si="162"/>
        <v>0</v>
      </c>
      <c r="H1148" s="10">
        <f t="shared" si="162"/>
        <v>252</v>
      </c>
      <c r="I1148" s="10">
        <f t="shared" si="162"/>
        <v>252</v>
      </c>
      <c r="J1148" s="99">
        <f t="shared" si="158"/>
        <v>100</v>
      </c>
    </row>
    <row r="1149" spans="1:10" ht="16.5" customHeight="1">
      <c r="A1149" s="67" t="s">
        <v>469</v>
      </c>
      <c r="B1149" s="26" t="s">
        <v>47</v>
      </c>
      <c r="C1149" s="26" t="s">
        <v>384</v>
      </c>
      <c r="D1149" s="26" t="s">
        <v>380</v>
      </c>
      <c r="E1149" s="26" t="s">
        <v>311</v>
      </c>
      <c r="F1149" s="28"/>
      <c r="G1149" s="10">
        <f t="shared" si="162"/>
        <v>0</v>
      </c>
      <c r="H1149" s="10">
        <f t="shared" si="162"/>
        <v>252</v>
      </c>
      <c r="I1149" s="10">
        <f t="shared" si="162"/>
        <v>252</v>
      </c>
      <c r="J1149" s="99">
        <f t="shared" si="158"/>
        <v>100</v>
      </c>
    </row>
    <row r="1150" spans="1:10" ht="16.5" customHeight="1">
      <c r="A1150" s="64" t="s">
        <v>232</v>
      </c>
      <c r="B1150" s="26" t="s">
        <v>47</v>
      </c>
      <c r="C1150" s="26" t="s">
        <v>384</v>
      </c>
      <c r="D1150" s="26" t="s">
        <v>380</v>
      </c>
      <c r="E1150" s="26" t="s">
        <v>312</v>
      </c>
      <c r="F1150" s="28" t="s">
        <v>234</v>
      </c>
      <c r="G1150" s="10">
        <v>0</v>
      </c>
      <c r="H1150" s="10">
        <v>252</v>
      </c>
      <c r="I1150" s="10">
        <v>252</v>
      </c>
      <c r="J1150" s="99">
        <f t="shared" si="158"/>
        <v>100</v>
      </c>
    </row>
    <row r="1151" spans="1:10" ht="16.5" customHeight="1">
      <c r="A1151" s="31" t="s">
        <v>412</v>
      </c>
      <c r="B1151" s="26" t="s">
        <v>47</v>
      </c>
      <c r="C1151" s="26" t="s">
        <v>384</v>
      </c>
      <c r="D1151" s="26" t="s">
        <v>380</v>
      </c>
      <c r="E1151" s="27" t="s">
        <v>439</v>
      </c>
      <c r="F1151" s="28"/>
      <c r="G1151" s="10">
        <f aca="true" t="shared" si="163" ref="G1151:I1152">G1152</f>
        <v>69094</v>
      </c>
      <c r="H1151" s="10">
        <f t="shared" si="163"/>
        <v>69094</v>
      </c>
      <c r="I1151" s="10">
        <f t="shared" si="163"/>
        <v>69094</v>
      </c>
      <c r="J1151" s="99">
        <f t="shared" si="158"/>
        <v>100</v>
      </c>
    </row>
    <row r="1152" spans="1:10" ht="16.5" customHeight="1">
      <c r="A1152" s="8" t="s">
        <v>359</v>
      </c>
      <c r="B1152" s="26" t="s">
        <v>47</v>
      </c>
      <c r="C1152" s="26" t="s">
        <v>384</v>
      </c>
      <c r="D1152" s="26" t="s">
        <v>380</v>
      </c>
      <c r="E1152" s="27" t="s">
        <v>440</v>
      </c>
      <c r="F1152" s="28"/>
      <c r="G1152" s="10">
        <f t="shared" si="163"/>
        <v>69094</v>
      </c>
      <c r="H1152" s="10">
        <f t="shared" si="163"/>
        <v>69094</v>
      </c>
      <c r="I1152" s="10">
        <f t="shared" si="163"/>
        <v>69094</v>
      </c>
      <c r="J1152" s="99">
        <f t="shared" si="158"/>
        <v>100</v>
      </c>
    </row>
    <row r="1153" spans="1:10" ht="16.5" customHeight="1">
      <c r="A1153" s="64" t="s">
        <v>232</v>
      </c>
      <c r="B1153" s="26" t="s">
        <v>47</v>
      </c>
      <c r="C1153" s="26" t="s">
        <v>384</v>
      </c>
      <c r="D1153" s="26" t="s">
        <v>380</v>
      </c>
      <c r="E1153" s="27" t="s">
        <v>440</v>
      </c>
      <c r="F1153" s="28" t="s">
        <v>234</v>
      </c>
      <c r="G1153" s="10">
        <f>83976-14882</f>
        <v>69094</v>
      </c>
      <c r="H1153" s="10">
        <f>83976-14882</f>
        <v>69094</v>
      </c>
      <c r="I1153" s="10">
        <f>83976-14882</f>
        <v>69094</v>
      </c>
      <c r="J1153" s="99">
        <f t="shared" si="158"/>
        <v>100</v>
      </c>
    </row>
    <row r="1154" spans="1:10" ht="12" customHeight="1">
      <c r="A1154" s="64"/>
      <c r="B1154" s="26"/>
      <c r="C1154" s="26"/>
      <c r="D1154" s="26"/>
      <c r="E1154" s="27"/>
      <c r="F1154" s="28"/>
      <c r="G1154" s="10"/>
      <c r="H1154" s="10"/>
      <c r="I1154" s="10"/>
      <c r="J1154" s="99"/>
    </row>
    <row r="1155" spans="1:10" ht="16.5" customHeight="1">
      <c r="A1155" s="31" t="s">
        <v>489</v>
      </c>
      <c r="B1155" s="26" t="s">
        <v>47</v>
      </c>
      <c r="C1155" s="26" t="s">
        <v>384</v>
      </c>
      <c r="D1155" s="26" t="s">
        <v>384</v>
      </c>
      <c r="E1155" s="27"/>
      <c r="F1155" s="28"/>
      <c r="G1155" s="10">
        <f>G1159+G1156</f>
        <v>1069</v>
      </c>
      <c r="H1155" s="10">
        <f>H1159+H1156</f>
        <v>1069</v>
      </c>
      <c r="I1155" s="10">
        <f>I1159+I1156</f>
        <v>1069</v>
      </c>
      <c r="J1155" s="99">
        <f t="shared" si="158"/>
        <v>100</v>
      </c>
    </row>
    <row r="1156" spans="1:10" ht="16.5" customHeight="1">
      <c r="A1156" s="60" t="s">
        <v>7</v>
      </c>
      <c r="B1156" s="26" t="s">
        <v>47</v>
      </c>
      <c r="C1156" s="26" t="s">
        <v>384</v>
      </c>
      <c r="D1156" s="26" t="s">
        <v>384</v>
      </c>
      <c r="E1156" s="27" t="s">
        <v>9</v>
      </c>
      <c r="F1156" s="28"/>
      <c r="G1156" s="10">
        <f aca="true" t="shared" si="164" ref="G1156:I1157">G1157</f>
        <v>105</v>
      </c>
      <c r="H1156" s="10">
        <f t="shared" si="164"/>
        <v>105</v>
      </c>
      <c r="I1156" s="10">
        <f t="shared" si="164"/>
        <v>105</v>
      </c>
      <c r="J1156" s="99">
        <f t="shared" si="158"/>
        <v>100</v>
      </c>
    </row>
    <row r="1157" spans="1:10" ht="32.25" customHeight="1">
      <c r="A1157" s="60" t="s">
        <v>179</v>
      </c>
      <c r="B1157" s="26" t="s">
        <v>47</v>
      </c>
      <c r="C1157" s="20" t="s">
        <v>384</v>
      </c>
      <c r="D1157" s="20" t="s">
        <v>384</v>
      </c>
      <c r="E1157" s="78" t="s">
        <v>180</v>
      </c>
      <c r="F1157" s="21"/>
      <c r="G1157" s="10">
        <f t="shared" si="164"/>
        <v>105</v>
      </c>
      <c r="H1157" s="10">
        <f t="shared" si="164"/>
        <v>105</v>
      </c>
      <c r="I1157" s="10">
        <f t="shared" si="164"/>
        <v>105</v>
      </c>
      <c r="J1157" s="99">
        <f t="shared" si="158"/>
        <v>100</v>
      </c>
    </row>
    <row r="1158" spans="1:10" ht="32.25" customHeight="1">
      <c r="A1158" s="60" t="s">
        <v>490</v>
      </c>
      <c r="B1158" s="26" t="s">
        <v>47</v>
      </c>
      <c r="C1158" s="20" t="s">
        <v>384</v>
      </c>
      <c r="D1158" s="20" t="s">
        <v>384</v>
      </c>
      <c r="E1158" s="78" t="s">
        <v>180</v>
      </c>
      <c r="F1158" s="21" t="s">
        <v>367</v>
      </c>
      <c r="G1158" s="10">
        <v>105</v>
      </c>
      <c r="H1158" s="10">
        <v>105</v>
      </c>
      <c r="I1158" s="10">
        <v>105</v>
      </c>
      <c r="J1158" s="99">
        <f t="shared" si="158"/>
        <v>100</v>
      </c>
    </row>
    <row r="1159" spans="1:10" ht="16.5" customHeight="1">
      <c r="A1159" s="23" t="s">
        <v>199</v>
      </c>
      <c r="B1159" s="26" t="s">
        <v>47</v>
      </c>
      <c r="C1159" s="26" t="s">
        <v>384</v>
      </c>
      <c r="D1159" s="26" t="s">
        <v>384</v>
      </c>
      <c r="E1159" s="27" t="s">
        <v>417</v>
      </c>
      <c r="F1159" s="28"/>
      <c r="G1159" s="10">
        <f>G1160+G1164+G1162</f>
        <v>964</v>
      </c>
      <c r="H1159" s="10">
        <f>H1160+H1164+H1162</f>
        <v>964</v>
      </c>
      <c r="I1159" s="10">
        <f>I1160+I1164+I1162</f>
        <v>964</v>
      </c>
      <c r="J1159" s="99">
        <f t="shared" si="158"/>
        <v>100</v>
      </c>
    </row>
    <row r="1160" spans="1:10" ht="16.5" customHeight="1">
      <c r="A1160" s="31" t="s">
        <v>561</v>
      </c>
      <c r="B1160" s="26" t="s">
        <v>47</v>
      </c>
      <c r="C1160" s="26" t="s">
        <v>384</v>
      </c>
      <c r="D1160" s="26" t="s">
        <v>384</v>
      </c>
      <c r="E1160" s="27" t="s">
        <v>265</v>
      </c>
      <c r="F1160" s="28"/>
      <c r="G1160" s="10">
        <f>G1161</f>
        <v>893</v>
      </c>
      <c r="H1160" s="10">
        <f>H1161</f>
        <v>893</v>
      </c>
      <c r="I1160" s="10">
        <f>I1161</f>
        <v>893</v>
      </c>
      <c r="J1160" s="99">
        <f t="shared" si="158"/>
        <v>100</v>
      </c>
    </row>
    <row r="1161" spans="1:10" ht="32.25" customHeight="1">
      <c r="A1161" s="60" t="s">
        <v>490</v>
      </c>
      <c r="B1161" s="26" t="s">
        <v>47</v>
      </c>
      <c r="C1161" s="54" t="s">
        <v>384</v>
      </c>
      <c r="D1161" s="54" t="s">
        <v>384</v>
      </c>
      <c r="E1161" s="55" t="s">
        <v>265</v>
      </c>
      <c r="F1161" s="56" t="s">
        <v>367</v>
      </c>
      <c r="G1161" s="10">
        <f>1877-1377+393</f>
        <v>893</v>
      </c>
      <c r="H1161" s="10">
        <f>1877-1377+393</f>
        <v>893</v>
      </c>
      <c r="I1161" s="10">
        <f>1877-1377+393</f>
        <v>893</v>
      </c>
      <c r="J1161" s="99">
        <f t="shared" si="158"/>
        <v>100</v>
      </c>
    </row>
    <row r="1162" spans="1:10" ht="48" customHeight="1" hidden="1">
      <c r="A1162" s="31" t="s">
        <v>560</v>
      </c>
      <c r="B1162" s="26" t="s">
        <v>47</v>
      </c>
      <c r="C1162" s="26" t="s">
        <v>384</v>
      </c>
      <c r="D1162" s="26" t="s">
        <v>384</v>
      </c>
      <c r="E1162" s="27" t="s">
        <v>347</v>
      </c>
      <c r="F1162" s="28"/>
      <c r="G1162" s="10">
        <f>G1163</f>
        <v>0</v>
      </c>
      <c r="H1162" s="10">
        <f>H1163</f>
        <v>0</v>
      </c>
      <c r="I1162" s="10">
        <f>I1163</f>
        <v>0</v>
      </c>
      <c r="J1162" s="99" t="e">
        <f t="shared" si="158"/>
        <v>#DIV/0!</v>
      </c>
    </row>
    <row r="1163" spans="1:10" ht="32.25" customHeight="1" hidden="1">
      <c r="A1163" s="60" t="s">
        <v>490</v>
      </c>
      <c r="B1163" s="26" t="s">
        <v>47</v>
      </c>
      <c r="C1163" s="54" t="s">
        <v>384</v>
      </c>
      <c r="D1163" s="54" t="s">
        <v>384</v>
      </c>
      <c r="E1163" s="55" t="s">
        <v>347</v>
      </c>
      <c r="F1163" s="56" t="s">
        <v>367</v>
      </c>
      <c r="G1163" s="10">
        <f>80-80</f>
        <v>0</v>
      </c>
      <c r="H1163" s="10">
        <f>80-80</f>
        <v>0</v>
      </c>
      <c r="I1163" s="10">
        <f>80-80</f>
        <v>0</v>
      </c>
      <c r="J1163" s="99" t="e">
        <f t="shared" si="158"/>
        <v>#DIV/0!</v>
      </c>
    </row>
    <row r="1164" spans="1:10" ht="32.25" customHeight="1">
      <c r="A1164" s="60" t="s">
        <v>495</v>
      </c>
      <c r="B1164" s="26" t="s">
        <v>47</v>
      </c>
      <c r="C1164" s="54" t="s">
        <v>384</v>
      </c>
      <c r="D1164" s="54" t="s">
        <v>384</v>
      </c>
      <c r="E1164" s="55" t="s">
        <v>448</v>
      </c>
      <c r="F1164" s="56"/>
      <c r="G1164" s="10">
        <f>G1165</f>
        <v>71</v>
      </c>
      <c r="H1164" s="10">
        <f>H1165</f>
        <v>71</v>
      </c>
      <c r="I1164" s="10">
        <f>I1165</f>
        <v>71</v>
      </c>
      <c r="J1164" s="99">
        <f t="shared" si="158"/>
        <v>100</v>
      </c>
    </row>
    <row r="1165" spans="1:10" ht="32.25" customHeight="1">
      <c r="A1165" s="60" t="s">
        <v>490</v>
      </c>
      <c r="B1165" s="26" t="s">
        <v>47</v>
      </c>
      <c r="C1165" s="54" t="s">
        <v>384</v>
      </c>
      <c r="D1165" s="54" t="s">
        <v>384</v>
      </c>
      <c r="E1165" s="55" t="s">
        <v>448</v>
      </c>
      <c r="F1165" s="56" t="s">
        <v>367</v>
      </c>
      <c r="G1165" s="10">
        <f>143-143+71</f>
        <v>71</v>
      </c>
      <c r="H1165" s="10">
        <f>143-143+71</f>
        <v>71</v>
      </c>
      <c r="I1165" s="10">
        <f>143-143+71</f>
        <v>71</v>
      </c>
      <c r="J1165" s="99">
        <f aca="true" t="shared" si="165" ref="J1165:J1228">I1165/H1165*100</f>
        <v>100</v>
      </c>
    </row>
    <row r="1166" spans="1:10" ht="12" customHeight="1">
      <c r="A1166" s="64"/>
      <c r="B1166" s="26"/>
      <c r="C1166" s="26"/>
      <c r="D1166" s="26"/>
      <c r="E1166" s="27"/>
      <c r="F1166" s="28"/>
      <c r="G1166" s="10"/>
      <c r="H1166" s="10"/>
      <c r="I1166" s="10"/>
      <c r="J1166" s="99"/>
    </row>
    <row r="1167" spans="1:10" ht="16.5" customHeight="1">
      <c r="A1167" s="31" t="s">
        <v>239</v>
      </c>
      <c r="B1167" s="26" t="s">
        <v>47</v>
      </c>
      <c r="C1167" s="54" t="s">
        <v>384</v>
      </c>
      <c r="D1167" s="54" t="s">
        <v>386</v>
      </c>
      <c r="E1167" s="55"/>
      <c r="F1167" s="56"/>
      <c r="G1167" s="10">
        <f>G1168</f>
        <v>635</v>
      </c>
      <c r="H1167" s="10">
        <f>H1168</f>
        <v>635</v>
      </c>
      <c r="I1167" s="10">
        <f>I1168</f>
        <v>635</v>
      </c>
      <c r="J1167" s="99">
        <f t="shared" si="165"/>
        <v>100</v>
      </c>
    </row>
    <row r="1168" spans="1:10" ht="16.5" customHeight="1">
      <c r="A1168" s="23" t="s">
        <v>199</v>
      </c>
      <c r="B1168" s="26" t="s">
        <v>47</v>
      </c>
      <c r="C1168" s="54" t="s">
        <v>384</v>
      </c>
      <c r="D1168" s="54" t="s">
        <v>386</v>
      </c>
      <c r="E1168" s="27" t="s">
        <v>417</v>
      </c>
      <c r="F1168" s="56"/>
      <c r="G1168" s="10">
        <f>G1169+G1172+G1174+G1177+G1179</f>
        <v>635</v>
      </c>
      <c r="H1168" s="10">
        <f>H1169+H1172+H1174+H1177+H1179</f>
        <v>635</v>
      </c>
      <c r="I1168" s="10">
        <f>I1169+I1172+I1174+I1177+I1179</f>
        <v>635</v>
      </c>
      <c r="J1168" s="99">
        <f t="shared" si="165"/>
        <v>100</v>
      </c>
    </row>
    <row r="1169" spans="1:10" ht="32.25" customHeight="1">
      <c r="A1169" s="23" t="s">
        <v>564</v>
      </c>
      <c r="B1169" s="26" t="s">
        <v>47</v>
      </c>
      <c r="C1169" s="54" t="s">
        <v>384</v>
      </c>
      <c r="D1169" s="54" t="s">
        <v>386</v>
      </c>
      <c r="E1169" s="26" t="s">
        <v>273</v>
      </c>
      <c r="F1169" s="56"/>
      <c r="G1169" s="10">
        <f>G1171+G1170</f>
        <v>577</v>
      </c>
      <c r="H1169" s="10">
        <f>H1171+H1170</f>
        <v>577</v>
      </c>
      <c r="I1169" s="10">
        <f>I1171+I1170</f>
        <v>577</v>
      </c>
      <c r="J1169" s="99">
        <f t="shared" si="165"/>
        <v>100</v>
      </c>
    </row>
    <row r="1170" spans="1:10" ht="16.5" customHeight="1">
      <c r="A1170" s="64" t="s">
        <v>232</v>
      </c>
      <c r="B1170" s="26" t="s">
        <v>47</v>
      </c>
      <c r="C1170" s="54" t="s">
        <v>384</v>
      </c>
      <c r="D1170" s="54" t="s">
        <v>386</v>
      </c>
      <c r="E1170" s="26" t="s">
        <v>273</v>
      </c>
      <c r="F1170" s="56" t="s">
        <v>234</v>
      </c>
      <c r="G1170" s="10">
        <f>770-490</f>
        <v>280</v>
      </c>
      <c r="H1170" s="10">
        <f>770-490</f>
        <v>280</v>
      </c>
      <c r="I1170" s="10">
        <f>770-490</f>
        <v>280</v>
      </c>
      <c r="J1170" s="99">
        <f t="shared" si="165"/>
        <v>100</v>
      </c>
    </row>
    <row r="1171" spans="1:10" ht="16.5" customHeight="1">
      <c r="A1171" s="60" t="s">
        <v>492</v>
      </c>
      <c r="B1171" s="26" t="s">
        <v>47</v>
      </c>
      <c r="C1171" s="54" t="s">
        <v>384</v>
      </c>
      <c r="D1171" s="54" t="s">
        <v>386</v>
      </c>
      <c r="E1171" s="26" t="s">
        <v>273</v>
      </c>
      <c r="F1171" s="56" t="s">
        <v>493</v>
      </c>
      <c r="G1171" s="10">
        <f>645-348</f>
        <v>297</v>
      </c>
      <c r="H1171" s="10">
        <f>645-348</f>
        <v>297</v>
      </c>
      <c r="I1171" s="10">
        <f>645-348</f>
        <v>297</v>
      </c>
      <c r="J1171" s="99">
        <f t="shared" si="165"/>
        <v>100</v>
      </c>
    </row>
    <row r="1172" spans="1:10" ht="18" customHeight="1" hidden="1">
      <c r="A1172" s="31" t="s">
        <v>562</v>
      </c>
      <c r="B1172" s="26" t="s">
        <v>47</v>
      </c>
      <c r="C1172" s="54" t="s">
        <v>384</v>
      </c>
      <c r="D1172" s="54" t="s">
        <v>386</v>
      </c>
      <c r="E1172" s="26" t="s">
        <v>446</v>
      </c>
      <c r="F1172" s="56"/>
      <c r="G1172" s="10">
        <f>G1173</f>
        <v>0</v>
      </c>
      <c r="H1172" s="10">
        <f>H1173</f>
        <v>0</v>
      </c>
      <c r="I1172" s="10">
        <f>I1173</f>
        <v>0</v>
      </c>
      <c r="J1172" s="99" t="e">
        <f t="shared" si="165"/>
        <v>#DIV/0!</v>
      </c>
    </row>
    <row r="1173" spans="1:10" ht="18" customHeight="1" hidden="1">
      <c r="A1173" s="60" t="s">
        <v>492</v>
      </c>
      <c r="B1173" s="26" t="s">
        <v>47</v>
      </c>
      <c r="C1173" s="54" t="s">
        <v>384</v>
      </c>
      <c r="D1173" s="54" t="s">
        <v>386</v>
      </c>
      <c r="E1173" s="26" t="s">
        <v>446</v>
      </c>
      <c r="F1173" s="56" t="s">
        <v>493</v>
      </c>
      <c r="G1173" s="10">
        <f>25-25</f>
        <v>0</v>
      </c>
      <c r="H1173" s="10">
        <f>25-25</f>
        <v>0</v>
      </c>
      <c r="I1173" s="10">
        <f>25-25</f>
        <v>0</v>
      </c>
      <c r="J1173" s="99" t="e">
        <f t="shared" si="165"/>
        <v>#DIV/0!</v>
      </c>
    </row>
    <row r="1174" spans="1:10" ht="32.25" customHeight="1" hidden="1">
      <c r="A1174" s="64" t="s">
        <v>517</v>
      </c>
      <c r="B1174" s="26" t="s">
        <v>47</v>
      </c>
      <c r="C1174" s="54" t="s">
        <v>384</v>
      </c>
      <c r="D1174" s="54" t="s">
        <v>386</v>
      </c>
      <c r="E1174" s="26" t="s">
        <v>447</v>
      </c>
      <c r="F1174" s="56"/>
      <c r="G1174" s="10">
        <f aca="true" t="shared" si="166" ref="G1174:I1175">G1175</f>
        <v>0</v>
      </c>
      <c r="H1174" s="10">
        <f t="shared" si="166"/>
        <v>0</v>
      </c>
      <c r="I1174" s="10">
        <f t="shared" si="166"/>
        <v>0</v>
      </c>
      <c r="J1174" s="99" t="e">
        <f t="shared" si="165"/>
        <v>#DIV/0!</v>
      </c>
    </row>
    <row r="1175" spans="1:10" ht="33" customHeight="1" hidden="1">
      <c r="A1175" s="31" t="s">
        <v>61</v>
      </c>
      <c r="B1175" s="26" t="s">
        <v>47</v>
      </c>
      <c r="C1175" s="54" t="s">
        <v>384</v>
      </c>
      <c r="D1175" s="54" t="s">
        <v>386</v>
      </c>
      <c r="E1175" s="26" t="s">
        <v>467</v>
      </c>
      <c r="F1175" s="56"/>
      <c r="G1175" s="10">
        <f t="shared" si="166"/>
        <v>0</v>
      </c>
      <c r="H1175" s="10">
        <f t="shared" si="166"/>
        <v>0</v>
      </c>
      <c r="I1175" s="10">
        <f t="shared" si="166"/>
        <v>0</v>
      </c>
      <c r="J1175" s="99" t="e">
        <f t="shared" si="165"/>
        <v>#DIV/0!</v>
      </c>
    </row>
    <row r="1176" spans="1:10" ht="18" customHeight="1" hidden="1">
      <c r="A1176" s="60" t="s">
        <v>492</v>
      </c>
      <c r="B1176" s="26" t="s">
        <v>47</v>
      </c>
      <c r="C1176" s="54" t="s">
        <v>384</v>
      </c>
      <c r="D1176" s="54" t="s">
        <v>386</v>
      </c>
      <c r="E1176" s="26" t="s">
        <v>467</v>
      </c>
      <c r="F1176" s="56" t="s">
        <v>493</v>
      </c>
      <c r="G1176" s="10">
        <f>65-65</f>
        <v>0</v>
      </c>
      <c r="H1176" s="10">
        <f>65-65</f>
        <v>0</v>
      </c>
      <c r="I1176" s="10">
        <f>65-65</f>
        <v>0</v>
      </c>
      <c r="J1176" s="99" t="e">
        <f t="shared" si="165"/>
        <v>#DIV/0!</v>
      </c>
    </row>
    <row r="1177" spans="1:10" ht="16.5" customHeight="1">
      <c r="A1177" s="31" t="s">
        <v>561</v>
      </c>
      <c r="B1177" s="26" t="s">
        <v>47</v>
      </c>
      <c r="C1177" s="54" t="s">
        <v>384</v>
      </c>
      <c r="D1177" s="54" t="s">
        <v>386</v>
      </c>
      <c r="E1177" s="26" t="s">
        <v>265</v>
      </c>
      <c r="F1177" s="56"/>
      <c r="G1177" s="10">
        <f>G1178</f>
        <v>50</v>
      </c>
      <c r="H1177" s="10">
        <f>H1178</f>
        <v>50</v>
      </c>
      <c r="I1177" s="10">
        <f>I1178</f>
        <v>50</v>
      </c>
      <c r="J1177" s="99">
        <f t="shared" si="165"/>
        <v>100</v>
      </c>
    </row>
    <row r="1178" spans="1:10" ht="16.5" customHeight="1">
      <c r="A1178" s="60" t="s">
        <v>492</v>
      </c>
      <c r="B1178" s="26" t="s">
        <v>47</v>
      </c>
      <c r="C1178" s="54" t="s">
        <v>384</v>
      </c>
      <c r="D1178" s="54" t="s">
        <v>386</v>
      </c>
      <c r="E1178" s="26" t="s">
        <v>265</v>
      </c>
      <c r="F1178" s="56" t="s">
        <v>493</v>
      </c>
      <c r="G1178" s="10">
        <f>50-5+5</f>
        <v>50</v>
      </c>
      <c r="H1178" s="10">
        <f>50-5+5</f>
        <v>50</v>
      </c>
      <c r="I1178" s="10">
        <f>50-5+5</f>
        <v>50</v>
      </c>
      <c r="J1178" s="99">
        <f t="shared" si="165"/>
        <v>100</v>
      </c>
    </row>
    <row r="1179" spans="1:10" ht="32.25" customHeight="1">
      <c r="A1179" s="60" t="s">
        <v>495</v>
      </c>
      <c r="B1179" s="26" t="s">
        <v>47</v>
      </c>
      <c r="C1179" s="54" t="s">
        <v>384</v>
      </c>
      <c r="D1179" s="54" t="s">
        <v>386</v>
      </c>
      <c r="E1179" s="54" t="s">
        <v>448</v>
      </c>
      <c r="F1179" s="56"/>
      <c r="G1179" s="10">
        <f>G1180</f>
        <v>8</v>
      </c>
      <c r="H1179" s="10">
        <f>H1180</f>
        <v>8</v>
      </c>
      <c r="I1179" s="10">
        <f>I1180</f>
        <v>8</v>
      </c>
      <c r="J1179" s="99">
        <f t="shared" si="165"/>
        <v>100</v>
      </c>
    </row>
    <row r="1180" spans="1:10" ht="16.5" customHeight="1">
      <c r="A1180" s="60" t="s">
        <v>492</v>
      </c>
      <c r="B1180" s="26" t="s">
        <v>47</v>
      </c>
      <c r="C1180" s="54" t="s">
        <v>384</v>
      </c>
      <c r="D1180" s="54" t="s">
        <v>386</v>
      </c>
      <c r="E1180" s="54" t="s">
        <v>448</v>
      </c>
      <c r="F1180" s="56" t="s">
        <v>493</v>
      </c>
      <c r="G1180" s="10">
        <f>16-16+8</f>
        <v>8</v>
      </c>
      <c r="H1180" s="10">
        <f>16-16+8</f>
        <v>8</v>
      </c>
      <c r="I1180" s="10">
        <f>16-16+8</f>
        <v>8</v>
      </c>
      <c r="J1180" s="99">
        <f t="shared" si="165"/>
        <v>100</v>
      </c>
    </row>
    <row r="1181" spans="1:10" ht="12" customHeight="1">
      <c r="A1181" s="64"/>
      <c r="B1181" s="26"/>
      <c r="C1181" s="26"/>
      <c r="D1181" s="26"/>
      <c r="E1181" s="27"/>
      <c r="F1181" s="28"/>
      <c r="G1181" s="10"/>
      <c r="H1181" s="10"/>
      <c r="I1181" s="10"/>
      <c r="J1181" s="99"/>
    </row>
    <row r="1182" spans="1:10" ht="16.5" customHeight="1">
      <c r="A1182" s="62" t="s">
        <v>244</v>
      </c>
      <c r="B1182" s="30" t="s">
        <v>47</v>
      </c>
      <c r="C1182" s="30" t="s">
        <v>388</v>
      </c>
      <c r="D1182" s="30"/>
      <c r="E1182" s="41"/>
      <c r="F1182" s="42"/>
      <c r="G1182" s="5">
        <f>G1183+G1203</f>
        <v>139648</v>
      </c>
      <c r="H1182" s="5">
        <f>H1183+H1203</f>
        <v>144252</v>
      </c>
      <c r="I1182" s="5">
        <f>I1183+I1203</f>
        <v>144176</v>
      </c>
      <c r="J1182" s="103">
        <f t="shared" si="165"/>
        <v>99.94731442198375</v>
      </c>
    </row>
    <row r="1183" spans="1:10" ht="16.5" customHeight="1">
      <c r="A1183" s="31" t="s">
        <v>245</v>
      </c>
      <c r="B1183" s="26" t="s">
        <v>47</v>
      </c>
      <c r="C1183" s="26" t="s">
        <v>388</v>
      </c>
      <c r="D1183" s="26" t="s">
        <v>379</v>
      </c>
      <c r="E1183" s="34"/>
      <c r="F1183" s="35"/>
      <c r="G1183" s="10">
        <f>G1189+G1192+G1195+G1184</f>
        <v>124807</v>
      </c>
      <c r="H1183" s="10">
        <f>H1189+H1192+H1195+H1184</f>
        <v>128999</v>
      </c>
      <c r="I1183" s="10">
        <f>I1189+I1192+I1195+I1184</f>
        <v>128923</v>
      </c>
      <c r="J1183" s="99">
        <f t="shared" si="165"/>
        <v>99.94108481461097</v>
      </c>
    </row>
    <row r="1184" spans="1:10" ht="16.5" customHeight="1">
      <c r="A1184" s="31" t="s">
        <v>371</v>
      </c>
      <c r="B1184" s="26" t="s">
        <v>47</v>
      </c>
      <c r="C1184" s="26" t="s">
        <v>388</v>
      </c>
      <c r="D1184" s="26" t="s">
        <v>379</v>
      </c>
      <c r="E1184" s="26" t="s">
        <v>427</v>
      </c>
      <c r="F1184" s="28"/>
      <c r="G1184" s="10">
        <f aca="true" t="shared" si="167" ref="G1184:I1185">G1185</f>
        <v>0</v>
      </c>
      <c r="H1184" s="10">
        <f t="shared" si="167"/>
        <v>4192</v>
      </c>
      <c r="I1184" s="10">
        <f t="shared" si="167"/>
        <v>4188</v>
      </c>
      <c r="J1184" s="99">
        <f t="shared" si="165"/>
        <v>99.90458015267176</v>
      </c>
    </row>
    <row r="1185" spans="1:10" ht="16.5" customHeight="1">
      <c r="A1185" s="8" t="s">
        <v>426</v>
      </c>
      <c r="B1185" s="26" t="s">
        <v>47</v>
      </c>
      <c r="C1185" s="26" t="s">
        <v>388</v>
      </c>
      <c r="D1185" s="26" t="s">
        <v>379</v>
      </c>
      <c r="E1185" s="26" t="s">
        <v>428</v>
      </c>
      <c r="F1185" s="28"/>
      <c r="G1185" s="10">
        <f t="shared" si="167"/>
        <v>0</v>
      </c>
      <c r="H1185" s="10">
        <f t="shared" si="167"/>
        <v>4192</v>
      </c>
      <c r="I1185" s="10">
        <f t="shared" si="167"/>
        <v>4188</v>
      </c>
      <c r="J1185" s="99">
        <f t="shared" si="165"/>
        <v>99.90458015267176</v>
      </c>
    </row>
    <row r="1186" spans="1:10" ht="16.5" customHeight="1">
      <c r="A1186" s="67" t="s">
        <v>469</v>
      </c>
      <c r="B1186" s="26" t="s">
        <v>47</v>
      </c>
      <c r="C1186" s="26" t="s">
        <v>388</v>
      </c>
      <c r="D1186" s="26" t="s">
        <v>379</v>
      </c>
      <c r="E1186" s="26" t="s">
        <v>311</v>
      </c>
      <c r="F1186" s="28"/>
      <c r="G1186" s="10">
        <f>G1187+G1188</f>
        <v>0</v>
      </c>
      <c r="H1186" s="10">
        <f>H1187+H1188</f>
        <v>4192</v>
      </c>
      <c r="I1186" s="10">
        <f>I1187+I1188</f>
        <v>4188</v>
      </c>
      <c r="J1186" s="99">
        <f t="shared" si="165"/>
        <v>99.90458015267176</v>
      </c>
    </row>
    <row r="1187" spans="1:10" ht="16.5" customHeight="1">
      <c r="A1187" s="64" t="s">
        <v>232</v>
      </c>
      <c r="B1187" s="26" t="s">
        <v>47</v>
      </c>
      <c r="C1187" s="26" t="s">
        <v>388</v>
      </c>
      <c r="D1187" s="26" t="s">
        <v>379</v>
      </c>
      <c r="E1187" s="26" t="s">
        <v>312</v>
      </c>
      <c r="F1187" s="28" t="s">
        <v>234</v>
      </c>
      <c r="G1187" s="10">
        <v>0</v>
      </c>
      <c r="H1187" s="10">
        <v>4122</v>
      </c>
      <c r="I1187" s="10">
        <v>4118</v>
      </c>
      <c r="J1187" s="99">
        <f t="shared" si="165"/>
        <v>99.90295972828724</v>
      </c>
    </row>
    <row r="1188" spans="1:10" ht="16.5" customHeight="1">
      <c r="A1188" s="59" t="s">
        <v>485</v>
      </c>
      <c r="B1188" s="26" t="s">
        <v>47</v>
      </c>
      <c r="C1188" s="26" t="s">
        <v>388</v>
      </c>
      <c r="D1188" s="26" t="s">
        <v>379</v>
      </c>
      <c r="E1188" s="26" t="s">
        <v>312</v>
      </c>
      <c r="F1188" s="28" t="s">
        <v>526</v>
      </c>
      <c r="G1188" s="10">
        <v>0</v>
      </c>
      <c r="H1188" s="10">
        <v>70</v>
      </c>
      <c r="I1188" s="10">
        <v>70</v>
      </c>
      <c r="J1188" s="99">
        <f t="shared" si="165"/>
        <v>100</v>
      </c>
    </row>
    <row r="1189" spans="1:10" ht="32.25" customHeight="1">
      <c r="A1189" s="31" t="s">
        <v>368</v>
      </c>
      <c r="B1189" s="26" t="s">
        <v>47</v>
      </c>
      <c r="C1189" s="26" t="s">
        <v>388</v>
      </c>
      <c r="D1189" s="26" t="s">
        <v>379</v>
      </c>
      <c r="E1189" s="27" t="s">
        <v>266</v>
      </c>
      <c r="F1189" s="35"/>
      <c r="G1189" s="10">
        <f aca="true" t="shared" si="168" ref="G1189:I1190">G1190</f>
        <v>76094</v>
      </c>
      <c r="H1189" s="10">
        <f t="shared" si="168"/>
        <v>76094</v>
      </c>
      <c r="I1189" s="10">
        <f t="shared" si="168"/>
        <v>76022</v>
      </c>
      <c r="J1189" s="99">
        <f t="shared" si="165"/>
        <v>99.90538018766263</v>
      </c>
    </row>
    <row r="1190" spans="1:10" ht="16.5" customHeight="1">
      <c r="A1190" s="8" t="s">
        <v>359</v>
      </c>
      <c r="B1190" s="26" t="s">
        <v>47</v>
      </c>
      <c r="C1190" s="26" t="s">
        <v>388</v>
      </c>
      <c r="D1190" s="26" t="s">
        <v>379</v>
      </c>
      <c r="E1190" s="27" t="s">
        <v>267</v>
      </c>
      <c r="F1190" s="28"/>
      <c r="G1190" s="10">
        <f t="shared" si="168"/>
        <v>76094</v>
      </c>
      <c r="H1190" s="10">
        <f t="shared" si="168"/>
        <v>76094</v>
      </c>
      <c r="I1190" s="10">
        <f t="shared" si="168"/>
        <v>76022</v>
      </c>
      <c r="J1190" s="99">
        <f t="shared" si="165"/>
        <v>99.90538018766263</v>
      </c>
    </row>
    <row r="1191" spans="1:10" ht="16.5" customHeight="1">
      <c r="A1191" s="64" t="s">
        <v>232</v>
      </c>
      <c r="B1191" s="26" t="s">
        <v>47</v>
      </c>
      <c r="C1191" s="26" t="s">
        <v>388</v>
      </c>
      <c r="D1191" s="26" t="s">
        <v>379</v>
      </c>
      <c r="E1191" s="27" t="s">
        <v>267</v>
      </c>
      <c r="F1191" s="28" t="s">
        <v>234</v>
      </c>
      <c r="G1191" s="10">
        <f>81464-5370</f>
        <v>76094</v>
      </c>
      <c r="H1191" s="10">
        <f>81464-5370</f>
        <v>76094</v>
      </c>
      <c r="I1191" s="10">
        <v>76022</v>
      </c>
      <c r="J1191" s="99">
        <f t="shared" si="165"/>
        <v>99.90538018766263</v>
      </c>
    </row>
    <row r="1192" spans="1:10" ht="16.5" customHeight="1">
      <c r="A1192" s="31" t="s">
        <v>369</v>
      </c>
      <c r="B1192" s="26" t="s">
        <v>47</v>
      </c>
      <c r="C1192" s="26" t="s">
        <v>388</v>
      </c>
      <c r="D1192" s="26" t="s">
        <v>379</v>
      </c>
      <c r="E1192" s="27" t="s">
        <v>268</v>
      </c>
      <c r="F1192" s="28"/>
      <c r="G1192" s="10">
        <f aca="true" t="shared" si="169" ref="G1192:I1193">G1193</f>
        <v>30167</v>
      </c>
      <c r="H1192" s="10">
        <f t="shared" si="169"/>
        <v>30167</v>
      </c>
      <c r="I1192" s="10">
        <f t="shared" si="169"/>
        <v>30167</v>
      </c>
      <c r="J1192" s="99">
        <f t="shared" si="165"/>
        <v>100</v>
      </c>
    </row>
    <row r="1193" spans="1:10" ht="16.5" customHeight="1">
      <c r="A1193" s="8" t="s">
        <v>359</v>
      </c>
      <c r="B1193" s="26" t="s">
        <v>47</v>
      </c>
      <c r="C1193" s="26" t="s">
        <v>388</v>
      </c>
      <c r="D1193" s="26" t="s">
        <v>379</v>
      </c>
      <c r="E1193" s="27" t="s">
        <v>269</v>
      </c>
      <c r="F1193" s="28" t="s">
        <v>270</v>
      </c>
      <c r="G1193" s="10">
        <f t="shared" si="169"/>
        <v>30167</v>
      </c>
      <c r="H1193" s="10">
        <f t="shared" si="169"/>
        <v>30167</v>
      </c>
      <c r="I1193" s="10">
        <f t="shared" si="169"/>
        <v>30167</v>
      </c>
      <c r="J1193" s="99">
        <f t="shared" si="165"/>
        <v>100</v>
      </c>
    </row>
    <row r="1194" spans="1:10" ht="16.5" customHeight="1">
      <c r="A1194" s="64" t="s">
        <v>232</v>
      </c>
      <c r="B1194" s="26" t="s">
        <v>47</v>
      </c>
      <c r="C1194" s="26" t="s">
        <v>388</v>
      </c>
      <c r="D1194" s="26" t="s">
        <v>379</v>
      </c>
      <c r="E1194" s="27" t="s">
        <v>269</v>
      </c>
      <c r="F1194" s="28" t="s">
        <v>234</v>
      </c>
      <c r="G1194" s="10">
        <f>32838-2671</f>
        <v>30167</v>
      </c>
      <c r="H1194" s="10">
        <f>32838-2671</f>
        <v>30167</v>
      </c>
      <c r="I1194" s="10">
        <f>32838-2671</f>
        <v>30167</v>
      </c>
      <c r="J1194" s="99">
        <f t="shared" si="165"/>
        <v>100</v>
      </c>
    </row>
    <row r="1195" spans="1:10" ht="32.25" customHeight="1">
      <c r="A1195" s="31" t="s">
        <v>395</v>
      </c>
      <c r="B1195" s="26" t="s">
        <v>47</v>
      </c>
      <c r="C1195" s="26" t="s">
        <v>388</v>
      </c>
      <c r="D1195" s="26" t="s">
        <v>379</v>
      </c>
      <c r="E1195" s="27" t="s">
        <v>271</v>
      </c>
      <c r="F1195" s="28"/>
      <c r="G1195" s="10">
        <f>G1198+G1196</f>
        <v>18546</v>
      </c>
      <c r="H1195" s="10">
        <f>H1198+H1196</f>
        <v>18546</v>
      </c>
      <c r="I1195" s="10">
        <f>I1198+I1196</f>
        <v>18546</v>
      </c>
      <c r="J1195" s="99">
        <f t="shared" si="165"/>
        <v>100</v>
      </c>
    </row>
    <row r="1196" spans="1:10" ht="49.5" customHeight="1">
      <c r="A1196" s="31" t="s">
        <v>644</v>
      </c>
      <c r="B1196" s="26" t="s">
        <v>47</v>
      </c>
      <c r="C1196" s="26" t="s">
        <v>388</v>
      </c>
      <c r="D1196" s="26" t="s">
        <v>379</v>
      </c>
      <c r="E1196" s="27" t="s">
        <v>645</v>
      </c>
      <c r="F1196" s="28"/>
      <c r="G1196" s="10">
        <f>G1197</f>
        <v>72</v>
      </c>
      <c r="H1196" s="10">
        <f>H1197</f>
        <v>72</v>
      </c>
      <c r="I1196" s="10">
        <f>I1197</f>
        <v>72</v>
      </c>
      <c r="J1196" s="99">
        <f t="shared" si="165"/>
        <v>100</v>
      </c>
    </row>
    <row r="1197" spans="1:10" ht="16.5" customHeight="1">
      <c r="A1197" s="64" t="s">
        <v>232</v>
      </c>
      <c r="B1197" s="26" t="s">
        <v>47</v>
      </c>
      <c r="C1197" s="26" t="s">
        <v>388</v>
      </c>
      <c r="D1197" s="26" t="s">
        <v>379</v>
      </c>
      <c r="E1197" s="27" t="s">
        <v>645</v>
      </c>
      <c r="F1197" s="28" t="s">
        <v>234</v>
      </c>
      <c r="G1197" s="10">
        <v>72</v>
      </c>
      <c r="H1197" s="10">
        <v>72</v>
      </c>
      <c r="I1197" s="10">
        <v>72</v>
      </c>
      <c r="J1197" s="99">
        <f t="shared" si="165"/>
        <v>100</v>
      </c>
    </row>
    <row r="1198" spans="1:10" ht="32.25" customHeight="1">
      <c r="A1198" s="31" t="s">
        <v>194</v>
      </c>
      <c r="B1198" s="26" t="s">
        <v>47</v>
      </c>
      <c r="C1198" s="26" t="s">
        <v>388</v>
      </c>
      <c r="D1198" s="26" t="s">
        <v>379</v>
      </c>
      <c r="E1198" s="27" t="s">
        <v>272</v>
      </c>
      <c r="F1198" s="28"/>
      <c r="G1198" s="10">
        <f>G1199+G1200+G1201</f>
        <v>18474</v>
      </c>
      <c r="H1198" s="10">
        <f>H1199+H1200+H1201</f>
        <v>18474</v>
      </c>
      <c r="I1198" s="10">
        <f>I1199+I1200+I1201</f>
        <v>18474</v>
      </c>
      <c r="J1198" s="99">
        <f t="shared" si="165"/>
        <v>100</v>
      </c>
    </row>
    <row r="1199" spans="1:10" ht="16.5" customHeight="1">
      <c r="A1199" s="64" t="s">
        <v>232</v>
      </c>
      <c r="B1199" s="26" t="s">
        <v>47</v>
      </c>
      <c r="C1199" s="54" t="s">
        <v>388</v>
      </c>
      <c r="D1199" s="54" t="s">
        <v>379</v>
      </c>
      <c r="E1199" s="55" t="s">
        <v>272</v>
      </c>
      <c r="F1199" s="56" t="s">
        <v>234</v>
      </c>
      <c r="G1199" s="10">
        <f>20494-2100-40-4210</f>
        <v>14144</v>
      </c>
      <c r="H1199" s="10">
        <f>20494-2100-40-4210</f>
        <v>14144</v>
      </c>
      <c r="I1199" s="10">
        <f>20494-2100-40-4210</f>
        <v>14144</v>
      </c>
      <c r="J1199" s="99">
        <f t="shared" si="165"/>
        <v>100</v>
      </c>
    </row>
    <row r="1200" spans="1:10" ht="16.5" customHeight="1">
      <c r="A1200" s="64" t="s">
        <v>429</v>
      </c>
      <c r="B1200" s="26" t="s">
        <v>47</v>
      </c>
      <c r="C1200" s="54" t="s">
        <v>388</v>
      </c>
      <c r="D1200" s="54" t="s">
        <v>379</v>
      </c>
      <c r="E1200" s="55" t="s">
        <v>272</v>
      </c>
      <c r="F1200" s="56" t="s">
        <v>430</v>
      </c>
      <c r="G1200" s="10">
        <f>80+40</f>
        <v>120</v>
      </c>
      <c r="H1200" s="10">
        <f>80+40</f>
        <v>120</v>
      </c>
      <c r="I1200" s="10">
        <f>80+40</f>
        <v>120</v>
      </c>
      <c r="J1200" s="99">
        <f t="shared" si="165"/>
        <v>100</v>
      </c>
    </row>
    <row r="1201" spans="1:10" ht="16.5" customHeight="1">
      <c r="A1201" s="60" t="s">
        <v>419</v>
      </c>
      <c r="B1201" s="26" t="s">
        <v>47</v>
      </c>
      <c r="C1201" s="54" t="s">
        <v>388</v>
      </c>
      <c r="D1201" s="54" t="s">
        <v>379</v>
      </c>
      <c r="E1201" s="55" t="s">
        <v>272</v>
      </c>
      <c r="F1201" s="56" t="s">
        <v>420</v>
      </c>
      <c r="G1201" s="10">
        <v>4210</v>
      </c>
      <c r="H1201" s="10">
        <v>4210</v>
      </c>
      <c r="I1201" s="10">
        <v>4210</v>
      </c>
      <c r="J1201" s="99">
        <f t="shared" si="165"/>
        <v>100</v>
      </c>
    </row>
    <row r="1202" spans="1:10" ht="12" customHeight="1">
      <c r="A1202" s="64"/>
      <c r="B1202" s="26"/>
      <c r="C1202" s="26"/>
      <c r="D1202" s="26"/>
      <c r="E1202" s="27"/>
      <c r="F1202" s="28"/>
      <c r="G1202" s="10"/>
      <c r="H1202" s="10"/>
      <c r="I1202" s="10"/>
      <c r="J1202" s="99"/>
    </row>
    <row r="1203" spans="1:10" ht="32.25" customHeight="1">
      <c r="A1203" s="31" t="s">
        <v>246</v>
      </c>
      <c r="B1203" s="26" t="s">
        <v>47</v>
      </c>
      <c r="C1203" s="20" t="s">
        <v>388</v>
      </c>
      <c r="D1203" s="20" t="s">
        <v>383</v>
      </c>
      <c r="E1203" s="19"/>
      <c r="F1203" s="21"/>
      <c r="G1203" s="10">
        <f>G1204+G1211+G1207</f>
        <v>14841</v>
      </c>
      <c r="H1203" s="10">
        <f>H1204+H1211+H1207</f>
        <v>15253</v>
      </c>
      <c r="I1203" s="10">
        <f>I1204+I1211+I1207</f>
        <v>15253</v>
      </c>
      <c r="J1203" s="99">
        <f t="shared" si="165"/>
        <v>100</v>
      </c>
    </row>
    <row r="1204" spans="1:10" ht="49.5" customHeight="1">
      <c r="A1204" s="23" t="s">
        <v>231</v>
      </c>
      <c r="B1204" s="26" t="s">
        <v>47</v>
      </c>
      <c r="C1204" s="26" t="s">
        <v>388</v>
      </c>
      <c r="D1204" s="26" t="s">
        <v>383</v>
      </c>
      <c r="E1204" s="26" t="s">
        <v>233</v>
      </c>
      <c r="F1204" s="28"/>
      <c r="G1204" s="10">
        <f aca="true" t="shared" si="170" ref="G1204:I1205">G1205</f>
        <v>5095</v>
      </c>
      <c r="H1204" s="10">
        <f t="shared" si="170"/>
        <v>5095</v>
      </c>
      <c r="I1204" s="10">
        <f t="shared" si="170"/>
        <v>5095</v>
      </c>
      <c r="J1204" s="99">
        <f t="shared" si="165"/>
        <v>100</v>
      </c>
    </row>
    <row r="1205" spans="1:10" ht="16.5" customHeight="1">
      <c r="A1205" s="8" t="s">
        <v>364</v>
      </c>
      <c r="B1205" s="26" t="s">
        <v>47</v>
      </c>
      <c r="C1205" s="26" t="s">
        <v>388</v>
      </c>
      <c r="D1205" s="26" t="s">
        <v>383</v>
      </c>
      <c r="E1205" s="26" t="s">
        <v>441</v>
      </c>
      <c r="F1205" s="28"/>
      <c r="G1205" s="10">
        <f t="shared" si="170"/>
        <v>5095</v>
      </c>
      <c r="H1205" s="10">
        <f t="shared" si="170"/>
        <v>5095</v>
      </c>
      <c r="I1205" s="10">
        <f t="shared" si="170"/>
        <v>5095</v>
      </c>
      <c r="J1205" s="99">
        <f t="shared" si="165"/>
        <v>100</v>
      </c>
    </row>
    <row r="1206" spans="1:10" ht="16.5" customHeight="1">
      <c r="A1206" s="60" t="s">
        <v>419</v>
      </c>
      <c r="B1206" s="26" t="s">
        <v>47</v>
      </c>
      <c r="C1206" s="26" t="s">
        <v>388</v>
      </c>
      <c r="D1206" s="26" t="s">
        <v>383</v>
      </c>
      <c r="E1206" s="26" t="s">
        <v>441</v>
      </c>
      <c r="F1206" s="28" t="s">
        <v>420</v>
      </c>
      <c r="G1206" s="10">
        <f>5590-74-421</f>
        <v>5095</v>
      </c>
      <c r="H1206" s="10">
        <f>5590-74-421</f>
        <v>5095</v>
      </c>
      <c r="I1206" s="10">
        <v>5095</v>
      </c>
      <c r="J1206" s="99">
        <f t="shared" si="165"/>
        <v>100</v>
      </c>
    </row>
    <row r="1207" spans="1:10" ht="16.5" customHeight="1">
      <c r="A1207" s="31" t="s">
        <v>371</v>
      </c>
      <c r="B1207" s="26" t="s">
        <v>47</v>
      </c>
      <c r="C1207" s="26" t="s">
        <v>388</v>
      </c>
      <c r="D1207" s="26" t="s">
        <v>383</v>
      </c>
      <c r="E1207" s="26" t="s">
        <v>427</v>
      </c>
      <c r="F1207" s="28"/>
      <c r="G1207" s="10">
        <f aca="true" t="shared" si="171" ref="G1207:I1209">G1208</f>
        <v>0</v>
      </c>
      <c r="H1207" s="10">
        <f t="shared" si="171"/>
        <v>412</v>
      </c>
      <c r="I1207" s="10">
        <f t="shared" si="171"/>
        <v>412</v>
      </c>
      <c r="J1207" s="99">
        <f t="shared" si="165"/>
        <v>100</v>
      </c>
    </row>
    <row r="1208" spans="1:10" ht="16.5" customHeight="1">
      <c r="A1208" s="8" t="s">
        <v>426</v>
      </c>
      <c r="B1208" s="26" t="s">
        <v>47</v>
      </c>
      <c r="C1208" s="26" t="s">
        <v>388</v>
      </c>
      <c r="D1208" s="26" t="s">
        <v>383</v>
      </c>
      <c r="E1208" s="26" t="s">
        <v>428</v>
      </c>
      <c r="F1208" s="28"/>
      <c r="G1208" s="10">
        <f t="shared" si="171"/>
        <v>0</v>
      </c>
      <c r="H1208" s="10">
        <f t="shared" si="171"/>
        <v>412</v>
      </c>
      <c r="I1208" s="10">
        <f t="shared" si="171"/>
        <v>412</v>
      </c>
      <c r="J1208" s="99">
        <f t="shared" si="165"/>
        <v>100</v>
      </c>
    </row>
    <row r="1209" spans="1:10" ht="16.5" customHeight="1">
      <c r="A1209" s="67" t="s">
        <v>469</v>
      </c>
      <c r="B1209" s="26" t="s">
        <v>47</v>
      </c>
      <c r="C1209" s="26" t="s">
        <v>388</v>
      </c>
      <c r="D1209" s="26" t="s">
        <v>383</v>
      </c>
      <c r="E1209" s="26" t="s">
        <v>311</v>
      </c>
      <c r="F1209" s="28"/>
      <c r="G1209" s="10">
        <f t="shared" si="171"/>
        <v>0</v>
      </c>
      <c r="H1209" s="10">
        <f t="shared" si="171"/>
        <v>412</v>
      </c>
      <c r="I1209" s="10">
        <f t="shared" si="171"/>
        <v>412</v>
      </c>
      <c r="J1209" s="99">
        <f t="shared" si="165"/>
        <v>100</v>
      </c>
    </row>
    <row r="1210" spans="1:10" ht="16.5" customHeight="1">
      <c r="A1210" s="59" t="s">
        <v>485</v>
      </c>
      <c r="B1210" s="26" t="s">
        <v>47</v>
      </c>
      <c r="C1210" s="26" t="s">
        <v>388</v>
      </c>
      <c r="D1210" s="26" t="s">
        <v>383</v>
      </c>
      <c r="E1210" s="26" t="s">
        <v>312</v>
      </c>
      <c r="F1210" s="28" t="s">
        <v>526</v>
      </c>
      <c r="G1210" s="10">
        <v>0</v>
      </c>
      <c r="H1210" s="10">
        <v>412</v>
      </c>
      <c r="I1210" s="10">
        <v>412</v>
      </c>
      <c r="J1210" s="99">
        <f t="shared" si="165"/>
        <v>100</v>
      </c>
    </row>
    <row r="1211" spans="1:10" ht="16.5" customHeight="1">
      <c r="A1211" s="23" t="s">
        <v>199</v>
      </c>
      <c r="B1211" s="26" t="s">
        <v>47</v>
      </c>
      <c r="C1211" s="26" t="s">
        <v>388</v>
      </c>
      <c r="D1211" s="26" t="s">
        <v>383</v>
      </c>
      <c r="E1211" s="26" t="s">
        <v>417</v>
      </c>
      <c r="F1211" s="28"/>
      <c r="G1211" s="10">
        <f>G1212+G1215+G1217+G1220+G1222+G1224+G1227+G1229</f>
        <v>9746</v>
      </c>
      <c r="H1211" s="10">
        <f>H1212+H1215+H1217+H1220+H1222+H1224+H1227+H1229</f>
        <v>9746</v>
      </c>
      <c r="I1211" s="10">
        <f>I1212+I1215+I1217+I1220+I1222+I1224+I1227+I1229</f>
        <v>9746</v>
      </c>
      <c r="J1211" s="99">
        <f t="shared" si="165"/>
        <v>100</v>
      </c>
    </row>
    <row r="1212" spans="1:10" ht="32.25" customHeight="1">
      <c r="A1212" s="23" t="s">
        <v>564</v>
      </c>
      <c r="B1212" s="26" t="s">
        <v>47</v>
      </c>
      <c r="C1212" s="26" t="s">
        <v>388</v>
      </c>
      <c r="D1212" s="26" t="s">
        <v>383</v>
      </c>
      <c r="E1212" s="26" t="s">
        <v>273</v>
      </c>
      <c r="F1212" s="28"/>
      <c r="G1212" s="10">
        <f>G1213+G1214</f>
        <v>4373</v>
      </c>
      <c r="H1212" s="10">
        <f>H1213+H1214</f>
        <v>4373</v>
      </c>
      <c r="I1212" s="10">
        <f>I1213+I1214</f>
        <v>4373</v>
      </c>
      <c r="J1212" s="99">
        <f t="shared" si="165"/>
        <v>100</v>
      </c>
    </row>
    <row r="1213" spans="1:10" ht="16.5" customHeight="1">
      <c r="A1213" s="64" t="s">
        <v>232</v>
      </c>
      <c r="B1213" s="26" t="s">
        <v>47</v>
      </c>
      <c r="C1213" s="26" t="s">
        <v>388</v>
      </c>
      <c r="D1213" s="26" t="s">
        <v>383</v>
      </c>
      <c r="E1213" s="26" t="s">
        <v>273</v>
      </c>
      <c r="F1213" s="28" t="s">
        <v>234</v>
      </c>
      <c r="G1213" s="10">
        <f>5775-4615</f>
        <v>1160</v>
      </c>
      <c r="H1213" s="10">
        <f>5775-4615</f>
        <v>1160</v>
      </c>
      <c r="I1213" s="10">
        <f>5775-4615</f>
        <v>1160</v>
      </c>
      <c r="J1213" s="99">
        <f t="shared" si="165"/>
        <v>100</v>
      </c>
    </row>
    <row r="1214" spans="1:10" ht="16.5" customHeight="1">
      <c r="A1214" s="59" t="s">
        <v>485</v>
      </c>
      <c r="B1214" s="26" t="s">
        <v>47</v>
      </c>
      <c r="C1214" s="54" t="s">
        <v>388</v>
      </c>
      <c r="D1214" s="54" t="s">
        <v>383</v>
      </c>
      <c r="E1214" s="54" t="s">
        <v>273</v>
      </c>
      <c r="F1214" s="56" t="s">
        <v>526</v>
      </c>
      <c r="G1214" s="10">
        <f>4798-1585</f>
        <v>3213</v>
      </c>
      <c r="H1214" s="10">
        <f>4798-1585</f>
        <v>3213</v>
      </c>
      <c r="I1214" s="10">
        <f>4798-1585</f>
        <v>3213</v>
      </c>
      <c r="J1214" s="99">
        <f t="shared" si="165"/>
        <v>100</v>
      </c>
    </row>
    <row r="1215" spans="1:10" ht="18" customHeight="1" hidden="1">
      <c r="A1215" s="64" t="s">
        <v>562</v>
      </c>
      <c r="B1215" s="26" t="s">
        <v>47</v>
      </c>
      <c r="C1215" s="54" t="s">
        <v>388</v>
      </c>
      <c r="D1215" s="54" t="s">
        <v>383</v>
      </c>
      <c r="E1215" s="54" t="s">
        <v>446</v>
      </c>
      <c r="F1215" s="56"/>
      <c r="G1215" s="10">
        <f>G1216</f>
        <v>0</v>
      </c>
      <c r="H1215" s="10">
        <f>H1216</f>
        <v>0</v>
      </c>
      <c r="I1215" s="10">
        <f>I1216</f>
        <v>0</v>
      </c>
      <c r="J1215" s="99" t="e">
        <f t="shared" si="165"/>
        <v>#DIV/0!</v>
      </c>
    </row>
    <row r="1216" spans="1:10" ht="18" customHeight="1" hidden="1">
      <c r="A1216" s="59" t="s">
        <v>485</v>
      </c>
      <c r="B1216" s="26" t="s">
        <v>47</v>
      </c>
      <c r="C1216" s="54" t="s">
        <v>388</v>
      </c>
      <c r="D1216" s="54" t="s">
        <v>383</v>
      </c>
      <c r="E1216" s="54" t="s">
        <v>446</v>
      </c>
      <c r="F1216" s="56" t="s">
        <v>526</v>
      </c>
      <c r="G1216" s="10">
        <f>215-215</f>
        <v>0</v>
      </c>
      <c r="H1216" s="10">
        <f>215-215</f>
        <v>0</v>
      </c>
      <c r="I1216" s="10">
        <f>215-215</f>
        <v>0</v>
      </c>
      <c r="J1216" s="99" t="e">
        <f t="shared" si="165"/>
        <v>#DIV/0!</v>
      </c>
    </row>
    <row r="1217" spans="1:10" ht="32.25" customHeight="1" hidden="1">
      <c r="A1217" s="64" t="s">
        <v>517</v>
      </c>
      <c r="B1217" s="26" t="s">
        <v>47</v>
      </c>
      <c r="C1217" s="54" t="s">
        <v>388</v>
      </c>
      <c r="D1217" s="54" t="s">
        <v>383</v>
      </c>
      <c r="E1217" s="54" t="s">
        <v>447</v>
      </c>
      <c r="F1217" s="56"/>
      <c r="G1217" s="10">
        <f aca="true" t="shared" si="172" ref="G1217:I1218">G1218</f>
        <v>0</v>
      </c>
      <c r="H1217" s="10">
        <f t="shared" si="172"/>
        <v>0</v>
      </c>
      <c r="I1217" s="10">
        <f t="shared" si="172"/>
        <v>0</v>
      </c>
      <c r="J1217" s="99" t="e">
        <f t="shared" si="165"/>
        <v>#DIV/0!</v>
      </c>
    </row>
    <row r="1218" spans="1:10" ht="33" customHeight="1" hidden="1">
      <c r="A1218" s="31" t="s">
        <v>61</v>
      </c>
      <c r="B1218" s="26" t="s">
        <v>47</v>
      </c>
      <c r="C1218" s="54" t="s">
        <v>388</v>
      </c>
      <c r="D1218" s="54" t="s">
        <v>383</v>
      </c>
      <c r="E1218" s="54" t="s">
        <v>467</v>
      </c>
      <c r="F1218" s="56"/>
      <c r="G1218" s="10">
        <f t="shared" si="172"/>
        <v>0</v>
      </c>
      <c r="H1218" s="10">
        <f t="shared" si="172"/>
        <v>0</v>
      </c>
      <c r="I1218" s="10">
        <f t="shared" si="172"/>
        <v>0</v>
      </c>
      <c r="J1218" s="99" t="e">
        <f t="shared" si="165"/>
        <v>#DIV/0!</v>
      </c>
    </row>
    <row r="1219" spans="1:10" ht="18" customHeight="1" hidden="1">
      <c r="A1219" s="59" t="s">
        <v>485</v>
      </c>
      <c r="B1219" s="26" t="s">
        <v>47</v>
      </c>
      <c r="C1219" s="54" t="s">
        <v>388</v>
      </c>
      <c r="D1219" s="54" t="s">
        <v>383</v>
      </c>
      <c r="E1219" s="54" t="s">
        <v>467</v>
      </c>
      <c r="F1219" s="56" t="s">
        <v>526</v>
      </c>
      <c r="G1219" s="10">
        <f>175-175</f>
        <v>0</v>
      </c>
      <c r="H1219" s="10">
        <f>175-175</f>
        <v>0</v>
      </c>
      <c r="I1219" s="10">
        <f>175-175</f>
        <v>0</v>
      </c>
      <c r="J1219" s="99" t="e">
        <f t="shared" si="165"/>
        <v>#DIV/0!</v>
      </c>
    </row>
    <row r="1220" spans="1:10" ht="16.5" customHeight="1">
      <c r="A1220" s="31" t="s">
        <v>561</v>
      </c>
      <c r="B1220" s="26" t="s">
        <v>47</v>
      </c>
      <c r="C1220" s="54" t="s">
        <v>388</v>
      </c>
      <c r="D1220" s="54" t="s">
        <v>383</v>
      </c>
      <c r="E1220" s="54" t="s">
        <v>265</v>
      </c>
      <c r="F1220" s="56"/>
      <c r="G1220" s="10">
        <f>G1221</f>
        <v>1057</v>
      </c>
      <c r="H1220" s="10">
        <f>H1221</f>
        <v>1057</v>
      </c>
      <c r="I1220" s="10">
        <f>I1221</f>
        <v>1057</v>
      </c>
      <c r="J1220" s="99">
        <f t="shared" si="165"/>
        <v>100</v>
      </c>
    </row>
    <row r="1221" spans="1:10" ht="16.5" customHeight="1">
      <c r="A1221" s="59" t="s">
        <v>485</v>
      </c>
      <c r="B1221" s="26" t="s">
        <v>47</v>
      </c>
      <c r="C1221" s="54" t="s">
        <v>388</v>
      </c>
      <c r="D1221" s="54" t="s">
        <v>383</v>
      </c>
      <c r="E1221" s="54" t="s">
        <v>265</v>
      </c>
      <c r="F1221" s="56" t="s">
        <v>526</v>
      </c>
      <c r="G1221" s="10">
        <f>1085-630+602</f>
        <v>1057</v>
      </c>
      <c r="H1221" s="10">
        <f>1085-630+602</f>
        <v>1057</v>
      </c>
      <c r="I1221" s="10">
        <f>1085-630+602</f>
        <v>1057</v>
      </c>
      <c r="J1221" s="99">
        <f t="shared" si="165"/>
        <v>100</v>
      </c>
    </row>
    <row r="1222" spans="1:10" ht="32.25" customHeight="1">
      <c r="A1222" s="60" t="s">
        <v>495</v>
      </c>
      <c r="B1222" s="26" t="s">
        <v>47</v>
      </c>
      <c r="C1222" s="54" t="s">
        <v>388</v>
      </c>
      <c r="D1222" s="54" t="s">
        <v>383</v>
      </c>
      <c r="E1222" s="54" t="s">
        <v>448</v>
      </c>
      <c r="F1222" s="56"/>
      <c r="G1222" s="10">
        <f>G1223</f>
        <v>26</v>
      </c>
      <c r="H1222" s="10">
        <f>H1223</f>
        <v>26</v>
      </c>
      <c r="I1222" s="10">
        <f>I1223</f>
        <v>26</v>
      </c>
      <c r="J1222" s="99">
        <f t="shared" si="165"/>
        <v>100</v>
      </c>
    </row>
    <row r="1223" spans="1:10" ht="16.5" customHeight="1">
      <c r="A1223" s="59" t="s">
        <v>485</v>
      </c>
      <c r="B1223" s="26" t="s">
        <v>47</v>
      </c>
      <c r="C1223" s="54" t="s">
        <v>388</v>
      </c>
      <c r="D1223" s="54" t="s">
        <v>383</v>
      </c>
      <c r="E1223" s="54" t="s">
        <v>448</v>
      </c>
      <c r="F1223" s="56" t="s">
        <v>526</v>
      </c>
      <c r="G1223" s="10">
        <f>52-52+26</f>
        <v>26</v>
      </c>
      <c r="H1223" s="10">
        <f>52-52+26</f>
        <v>26</v>
      </c>
      <c r="I1223" s="10">
        <f>52-52+26</f>
        <v>26</v>
      </c>
      <c r="J1223" s="99">
        <f t="shared" si="165"/>
        <v>100</v>
      </c>
    </row>
    <row r="1224" spans="1:10" ht="32.25" customHeight="1">
      <c r="A1224" s="31" t="s">
        <v>497</v>
      </c>
      <c r="B1224" s="26" t="s">
        <v>47</v>
      </c>
      <c r="C1224" s="54" t="s">
        <v>388</v>
      </c>
      <c r="D1224" s="54" t="s">
        <v>383</v>
      </c>
      <c r="E1224" s="54" t="s">
        <v>243</v>
      </c>
      <c r="F1224" s="56"/>
      <c r="G1224" s="10">
        <f aca="true" t="shared" si="173" ref="G1224:I1225">G1225</f>
        <v>260</v>
      </c>
      <c r="H1224" s="10">
        <f t="shared" si="173"/>
        <v>260</v>
      </c>
      <c r="I1224" s="10">
        <f t="shared" si="173"/>
        <v>260</v>
      </c>
      <c r="J1224" s="99">
        <f t="shared" si="165"/>
        <v>100</v>
      </c>
    </row>
    <row r="1225" spans="1:10" ht="49.5" customHeight="1">
      <c r="A1225" s="31" t="s">
        <v>498</v>
      </c>
      <c r="B1225" s="26" t="s">
        <v>47</v>
      </c>
      <c r="C1225" s="54" t="s">
        <v>388</v>
      </c>
      <c r="D1225" s="54" t="s">
        <v>383</v>
      </c>
      <c r="E1225" s="54" t="s">
        <v>454</v>
      </c>
      <c r="F1225" s="56"/>
      <c r="G1225" s="10">
        <f t="shared" si="173"/>
        <v>260</v>
      </c>
      <c r="H1225" s="10">
        <f t="shared" si="173"/>
        <v>260</v>
      </c>
      <c r="I1225" s="10">
        <f t="shared" si="173"/>
        <v>260</v>
      </c>
      <c r="J1225" s="99">
        <f t="shared" si="165"/>
        <v>100</v>
      </c>
    </row>
    <row r="1226" spans="1:10" ht="16.5" customHeight="1">
      <c r="A1226" s="64" t="s">
        <v>232</v>
      </c>
      <c r="B1226" s="26" t="s">
        <v>47</v>
      </c>
      <c r="C1226" s="54" t="s">
        <v>388</v>
      </c>
      <c r="D1226" s="54" t="s">
        <v>383</v>
      </c>
      <c r="E1226" s="54" t="s">
        <v>454</v>
      </c>
      <c r="F1226" s="56" t="s">
        <v>234</v>
      </c>
      <c r="G1226" s="10">
        <v>260</v>
      </c>
      <c r="H1226" s="10">
        <v>260</v>
      </c>
      <c r="I1226" s="10">
        <v>260</v>
      </c>
      <c r="J1226" s="99">
        <f t="shared" si="165"/>
        <v>100</v>
      </c>
    </row>
    <row r="1227" spans="1:10" ht="32.25" customHeight="1">
      <c r="A1227" s="64" t="s">
        <v>185</v>
      </c>
      <c r="B1227" s="26" t="s">
        <v>47</v>
      </c>
      <c r="C1227" s="26" t="s">
        <v>388</v>
      </c>
      <c r="D1227" s="26" t="s">
        <v>383</v>
      </c>
      <c r="E1227" s="27" t="s">
        <v>479</v>
      </c>
      <c r="F1227" s="28"/>
      <c r="G1227" s="10">
        <f>G1228</f>
        <v>30</v>
      </c>
      <c r="H1227" s="10">
        <f>H1228</f>
        <v>30</v>
      </c>
      <c r="I1227" s="10">
        <f>I1228</f>
        <v>30</v>
      </c>
      <c r="J1227" s="99">
        <f t="shared" si="165"/>
        <v>100</v>
      </c>
    </row>
    <row r="1228" spans="1:10" ht="16.5" customHeight="1">
      <c r="A1228" s="59" t="s">
        <v>485</v>
      </c>
      <c r="B1228" s="26" t="s">
        <v>47</v>
      </c>
      <c r="C1228" s="26" t="s">
        <v>388</v>
      </c>
      <c r="D1228" s="26" t="s">
        <v>383</v>
      </c>
      <c r="E1228" s="27" t="s">
        <v>479</v>
      </c>
      <c r="F1228" s="28" t="s">
        <v>526</v>
      </c>
      <c r="G1228" s="10">
        <f>30-30+30</f>
        <v>30</v>
      </c>
      <c r="H1228" s="10">
        <f>30-30+30</f>
        <v>30</v>
      </c>
      <c r="I1228" s="10">
        <f>30-30+30</f>
        <v>30</v>
      </c>
      <c r="J1228" s="99">
        <f t="shared" si="165"/>
        <v>100</v>
      </c>
    </row>
    <row r="1229" spans="1:10" ht="49.5" customHeight="1">
      <c r="A1229" s="64" t="s">
        <v>499</v>
      </c>
      <c r="B1229" s="26" t="s">
        <v>47</v>
      </c>
      <c r="C1229" s="26" t="s">
        <v>388</v>
      </c>
      <c r="D1229" s="26" t="s">
        <v>383</v>
      </c>
      <c r="E1229" s="27" t="s">
        <v>481</v>
      </c>
      <c r="F1229" s="28"/>
      <c r="G1229" s="10">
        <f>G1230</f>
        <v>4000</v>
      </c>
      <c r="H1229" s="10">
        <f>H1230</f>
        <v>4000</v>
      </c>
      <c r="I1229" s="10">
        <f>I1230</f>
        <v>4000</v>
      </c>
      <c r="J1229" s="99">
        <f aca="true" t="shared" si="174" ref="J1229:J1292">I1229/H1229*100</f>
        <v>100</v>
      </c>
    </row>
    <row r="1230" spans="1:10" ht="16.5" customHeight="1">
      <c r="A1230" s="60" t="s">
        <v>419</v>
      </c>
      <c r="B1230" s="26" t="s">
        <v>47</v>
      </c>
      <c r="C1230" s="26" t="s">
        <v>388</v>
      </c>
      <c r="D1230" s="26" t="s">
        <v>383</v>
      </c>
      <c r="E1230" s="27" t="s">
        <v>481</v>
      </c>
      <c r="F1230" s="28" t="s">
        <v>420</v>
      </c>
      <c r="G1230" s="10">
        <f>3000+1000</f>
        <v>4000</v>
      </c>
      <c r="H1230" s="10">
        <f>3000+1000</f>
        <v>4000</v>
      </c>
      <c r="I1230" s="10">
        <f>3000+1000</f>
        <v>4000</v>
      </c>
      <c r="J1230" s="99">
        <f t="shared" si="174"/>
        <v>100</v>
      </c>
    </row>
    <row r="1231" spans="1:10" ht="12" customHeight="1">
      <c r="A1231" s="67"/>
      <c r="B1231" s="27"/>
      <c r="C1231" s="54"/>
      <c r="D1231" s="54"/>
      <c r="E1231" s="54"/>
      <c r="F1231" s="56"/>
      <c r="G1231" s="9"/>
      <c r="H1231" s="9"/>
      <c r="I1231" s="9"/>
      <c r="J1231" s="99"/>
    </row>
    <row r="1232" spans="1:10" ht="16.5" customHeight="1">
      <c r="A1232" s="40" t="s">
        <v>544</v>
      </c>
      <c r="B1232" s="17">
        <v>818</v>
      </c>
      <c r="C1232" s="16"/>
      <c r="D1232" s="16"/>
      <c r="E1232" s="17"/>
      <c r="F1232" s="18"/>
      <c r="G1232" s="5">
        <f>G1233+G1260</f>
        <v>128903</v>
      </c>
      <c r="H1232" s="5">
        <f>H1233+H1260</f>
        <v>129544</v>
      </c>
      <c r="I1232" s="5">
        <f>I1233+I1260</f>
        <v>129209</v>
      </c>
      <c r="J1232" s="103">
        <f t="shared" si="174"/>
        <v>99.74140060519979</v>
      </c>
    </row>
    <row r="1233" spans="1:10" ht="16.5" customHeight="1">
      <c r="A1233" s="62" t="s">
        <v>238</v>
      </c>
      <c r="B1233" s="17">
        <v>818</v>
      </c>
      <c r="C1233" s="30" t="s">
        <v>384</v>
      </c>
      <c r="D1233" s="30"/>
      <c r="E1233" s="15"/>
      <c r="F1233" s="33"/>
      <c r="G1233" s="5">
        <f>G1234+G1252</f>
        <v>122452</v>
      </c>
      <c r="H1233" s="5">
        <f>H1234+H1252</f>
        <v>122899</v>
      </c>
      <c r="I1233" s="5">
        <f>I1234+I1252</f>
        <v>122569</v>
      </c>
      <c r="J1233" s="103">
        <f t="shared" si="174"/>
        <v>99.73148683064956</v>
      </c>
    </row>
    <row r="1234" spans="1:10" ht="16.5" customHeight="1">
      <c r="A1234" s="31" t="s">
        <v>436</v>
      </c>
      <c r="B1234" s="19">
        <v>818</v>
      </c>
      <c r="C1234" s="26" t="s">
        <v>384</v>
      </c>
      <c r="D1234" s="26" t="s">
        <v>380</v>
      </c>
      <c r="E1234" s="27"/>
      <c r="F1234" s="28"/>
      <c r="G1234" s="10">
        <f>G1242+G1235+G1245+G1248</f>
        <v>121452</v>
      </c>
      <c r="H1234" s="10">
        <f>H1242+H1235+H1245+H1248</f>
        <v>121899</v>
      </c>
      <c r="I1234" s="10">
        <f>I1242+I1235+I1245+I1248</f>
        <v>121569</v>
      </c>
      <c r="J1234" s="99">
        <f t="shared" si="174"/>
        <v>99.72928407944282</v>
      </c>
    </row>
    <row r="1235" spans="1:10" ht="16.5" customHeight="1">
      <c r="A1235" s="60" t="s">
        <v>371</v>
      </c>
      <c r="B1235" s="19">
        <v>818</v>
      </c>
      <c r="C1235" s="26" t="s">
        <v>384</v>
      </c>
      <c r="D1235" s="26" t="s">
        <v>380</v>
      </c>
      <c r="E1235" s="19" t="s">
        <v>174</v>
      </c>
      <c r="F1235" s="28"/>
      <c r="G1235" s="85">
        <f>G1236+G1239</f>
        <v>48</v>
      </c>
      <c r="H1235" s="85">
        <f>H1236+H1239</f>
        <v>495</v>
      </c>
      <c r="I1235" s="85">
        <f>I1236+I1239</f>
        <v>495</v>
      </c>
      <c r="J1235" s="99">
        <f t="shared" si="174"/>
        <v>100</v>
      </c>
    </row>
    <row r="1236" spans="1:10" ht="32.25" customHeight="1">
      <c r="A1236" s="91" t="s">
        <v>173</v>
      </c>
      <c r="B1236" s="19">
        <v>818</v>
      </c>
      <c r="C1236" s="26" t="s">
        <v>384</v>
      </c>
      <c r="D1236" s="26" t="s">
        <v>380</v>
      </c>
      <c r="E1236" s="19" t="s">
        <v>175</v>
      </c>
      <c r="F1236" s="28"/>
      <c r="G1236" s="85">
        <f aca="true" t="shared" si="175" ref="G1236:I1237">G1237</f>
        <v>48</v>
      </c>
      <c r="H1236" s="85">
        <f t="shared" si="175"/>
        <v>48</v>
      </c>
      <c r="I1236" s="85">
        <f t="shared" si="175"/>
        <v>48</v>
      </c>
      <c r="J1236" s="99">
        <f t="shared" si="174"/>
        <v>100</v>
      </c>
    </row>
    <row r="1237" spans="1:10" ht="32.25" customHeight="1">
      <c r="A1237" s="91" t="s">
        <v>173</v>
      </c>
      <c r="B1237" s="19">
        <v>818</v>
      </c>
      <c r="C1237" s="26" t="s">
        <v>384</v>
      </c>
      <c r="D1237" s="26" t="s">
        <v>380</v>
      </c>
      <c r="E1237" s="19" t="s">
        <v>176</v>
      </c>
      <c r="F1237" s="28"/>
      <c r="G1237" s="85">
        <f t="shared" si="175"/>
        <v>48</v>
      </c>
      <c r="H1237" s="85">
        <f t="shared" si="175"/>
        <v>48</v>
      </c>
      <c r="I1237" s="85">
        <f t="shared" si="175"/>
        <v>48</v>
      </c>
      <c r="J1237" s="99">
        <f t="shared" si="174"/>
        <v>100</v>
      </c>
    </row>
    <row r="1238" spans="1:10" ht="16.5" customHeight="1">
      <c r="A1238" s="64" t="s">
        <v>232</v>
      </c>
      <c r="B1238" s="19">
        <v>818</v>
      </c>
      <c r="C1238" s="26" t="s">
        <v>384</v>
      </c>
      <c r="D1238" s="26" t="s">
        <v>380</v>
      </c>
      <c r="E1238" s="19" t="s">
        <v>176</v>
      </c>
      <c r="F1238" s="28" t="s">
        <v>234</v>
      </c>
      <c r="G1238" s="85">
        <v>48</v>
      </c>
      <c r="H1238" s="85">
        <v>48</v>
      </c>
      <c r="I1238" s="85">
        <v>48</v>
      </c>
      <c r="J1238" s="99">
        <f t="shared" si="174"/>
        <v>100</v>
      </c>
    </row>
    <row r="1239" spans="1:10" ht="16.5" customHeight="1">
      <c r="A1239" s="8" t="s">
        <v>426</v>
      </c>
      <c r="B1239" s="26" t="s">
        <v>573</v>
      </c>
      <c r="C1239" s="26" t="s">
        <v>384</v>
      </c>
      <c r="D1239" s="26" t="s">
        <v>380</v>
      </c>
      <c r="E1239" s="26" t="s">
        <v>428</v>
      </c>
      <c r="F1239" s="28"/>
      <c r="G1239" s="85">
        <f aca="true" t="shared" si="176" ref="G1239:I1240">G1240</f>
        <v>0</v>
      </c>
      <c r="H1239" s="85">
        <f t="shared" si="176"/>
        <v>447</v>
      </c>
      <c r="I1239" s="85">
        <f t="shared" si="176"/>
        <v>447</v>
      </c>
      <c r="J1239" s="99">
        <f t="shared" si="174"/>
        <v>100</v>
      </c>
    </row>
    <row r="1240" spans="1:10" ht="16.5" customHeight="1">
      <c r="A1240" s="67" t="s">
        <v>469</v>
      </c>
      <c r="B1240" s="26" t="s">
        <v>573</v>
      </c>
      <c r="C1240" s="26" t="s">
        <v>384</v>
      </c>
      <c r="D1240" s="26" t="s">
        <v>380</v>
      </c>
      <c r="E1240" s="26" t="s">
        <v>311</v>
      </c>
      <c r="F1240" s="28"/>
      <c r="G1240" s="85">
        <f t="shared" si="176"/>
        <v>0</v>
      </c>
      <c r="H1240" s="85">
        <f t="shared" si="176"/>
        <v>447</v>
      </c>
      <c r="I1240" s="85">
        <f t="shared" si="176"/>
        <v>447</v>
      </c>
      <c r="J1240" s="99">
        <f t="shared" si="174"/>
        <v>100</v>
      </c>
    </row>
    <row r="1241" spans="1:10" ht="16.5" customHeight="1">
      <c r="A1241" s="64" t="s">
        <v>232</v>
      </c>
      <c r="B1241" s="26" t="s">
        <v>573</v>
      </c>
      <c r="C1241" s="26" t="s">
        <v>384</v>
      </c>
      <c r="D1241" s="26" t="s">
        <v>380</v>
      </c>
      <c r="E1241" s="26" t="s">
        <v>312</v>
      </c>
      <c r="F1241" s="28" t="s">
        <v>234</v>
      </c>
      <c r="G1241" s="85">
        <v>0</v>
      </c>
      <c r="H1241" s="85">
        <v>447</v>
      </c>
      <c r="I1241" s="85">
        <v>447</v>
      </c>
      <c r="J1241" s="99">
        <f t="shared" si="174"/>
        <v>100</v>
      </c>
    </row>
    <row r="1242" spans="1:10" ht="16.5" customHeight="1">
      <c r="A1242" s="31" t="s">
        <v>412</v>
      </c>
      <c r="B1242" s="19">
        <v>818</v>
      </c>
      <c r="C1242" s="26" t="s">
        <v>384</v>
      </c>
      <c r="D1242" s="26" t="s">
        <v>380</v>
      </c>
      <c r="E1242" s="27" t="s">
        <v>439</v>
      </c>
      <c r="F1242" s="28"/>
      <c r="G1242" s="10">
        <f aca="true" t="shared" si="177" ref="G1242:I1243">G1243</f>
        <v>121345</v>
      </c>
      <c r="H1242" s="10">
        <f t="shared" si="177"/>
        <v>121345</v>
      </c>
      <c r="I1242" s="10">
        <f t="shared" si="177"/>
        <v>121029</v>
      </c>
      <c r="J1242" s="99">
        <f t="shared" si="174"/>
        <v>99.7395854794182</v>
      </c>
    </row>
    <row r="1243" spans="1:10" ht="16.5" customHeight="1">
      <c r="A1243" s="8" t="s">
        <v>359</v>
      </c>
      <c r="B1243" s="19">
        <v>818</v>
      </c>
      <c r="C1243" s="26" t="s">
        <v>384</v>
      </c>
      <c r="D1243" s="26" t="s">
        <v>380</v>
      </c>
      <c r="E1243" s="27" t="s">
        <v>440</v>
      </c>
      <c r="F1243" s="28"/>
      <c r="G1243" s="10">
        <f t="shared" si="177"/>
        <v>121345</v>
      </c>
      <c r="H1243" s="10">
        <f t="shared" si="177"/>
        <v>121345</v>
      </c>
      <c r="I1243" s="10">
        <f t="shared" si="177"/>
        <v>121029</v>
      </c>
      <c r="J1243" s="99">
        <f t="shared" si="174"/>
        <v>99.7395854794182</v>
      </c>
    </row>
    <row r="1244" spans="1:10" ht="16.5" customHeight="1">
      <c r="A1244" s="64" t="s">
        <v>232</v>
      </c>
      <c r="B1244" s="19">
        <v>818</v>
      </c>
      <c r="C1244" s="26" t="s">
        <v>384</v>
      </c>
      <c r="D1244" s="26" t="s">
        <v>380</v>
      </c>
      <c r="E1244" s="27" t="s">
        <v>440</v>
      </c>
      <c r="F1244" s="28" t="s">
        <v>234</v>
      </c>
      <c r="G1244" s="10">
        <f>138579-17369+135</f>
        <v>121345</v>
      </c>
      <c r="H1244" s="10">
        <f>138579-17369+135</f>
        <v>121345</v>
      </c>
      <c r="I1244" s="10">
        <v>121029</v>
      </c>
      <c r="J1244" s="99">
        <f t="shared" si="174"/>
        <v>99.7395854794182</v>
      </c>
    </row>
    <row r="1245" spans="1:10" ht="16.5" customHeight="1">
      <c r="A1245" s="64" t="s">
        <v>29</v>
      </c>
      <c r="B1245" s="20" t="s">
        <v>573</v>
      </c>
      <c r="C1245" s="26" t="s">
        <v>384</v>
      </c>
      <c r="D1245" s="26" t="s">
        <v>380</v>
      </c>
      <c r="E1245" s="27" t="s">
        <v>32</v>
      </c>
      <c r="F1245" s="28"/>
      <c r="G1245" s="10">
        <f aca="true" t="shared" si="178" ref="G1245:I1246">G1246</f>
        <v>56</v>
      </c>
      <c r="H1245" s="10">
        <f t="shared" si="178"/>
        <v>56</v>
      </c>
      <c r="I1245" s="10">
        <f t="shared" si="178"/>
        <v>43</v>
      </c>
      <c r="J1245" s="99">
        <f t="shared" si="174"/>
        <v>76.78571428571429</v>
      </c>
    </row>
    <row r="1246" spans="1:10" ht="49.5" customHeight="1">
      <c r="A1246" s="64" t="s">
        <v>30</v>
      </c>
      <c r="B1246" s="20" t="s">
        <v>573</v>
      </c>
      <c r="C1246" s="26" t="s">
        <v>384</v>
      </c>
      <c r="D1246" s="26" t="s">
        <v>380</v>
      </c>
      <c r="E1246" s="27" t="s">
        <v>33</v>
      </c>
      <c r="F1246" s="28"/>
      <c r="G1246" s="10">
        <f t="shared" si="178"/>
        <v>56</v>
      </c>
      <c r="H1246" s="10">
        <f t="shared" si="178"/>
        <v>56</v>
      </c>
      <c r="I1246" s="10">
        <f t="shared" si="178"/>
        <v>43</v>
      </c>
      <c r="J1246" s="99">
        <f t="shared" si="174"/>
        <v>76.78571428571429</v>
      </c>
    </row>
    <row r="1247" spans="1:10" ht="16.5" customHeight="1">
      <c r="A1247" s="64" t="s">
        <v>232</v>
      </c>
      <c r="B1247" s="20" t="s">
        <v>573</v>
      </c>
      <c r="C1247" s="26" t="s">
        <v>384</v>
      </c>
      <c r="D1247" s="26" t="s">
        <v>380</v>
      </c>
      <c r="E1247" s="27" t="s">
        <v>33</v>
      </c>
      <c r="F1247" s="28" t="s">
        <v>234</v>
      </c>
      <c r="G1247" s="10">
        <v>56</v>
      </c>
      <c r="H1247" s="10">
        <v>56</v>
      </c>
      <c r="I1247" s="10">
        <v>43</v>
      </c>
      <c r="J1247" s="99">
        <f t="shared" si="174"/>
        <v>76.78571428571429</v>
      </c>
    </row>
    <row r="1248" spans="1:10" ht="16.5" customHeight="1">
      <c r="A1248" s="64" t="s">
        <v>7</v>
      </c>
      <c r="B1248" s="20" t="s">
        <v>573</v>
      </c>
      <c r="C1248" s="26" t="s">
        <v>384</v>
      </c>
      <c r="D1248" s="26" t="s">
        <v>380</v>
      </c>
      <c r="E1248" s="27" t="s">
        <v>9</v>
      </c>
      <c r="F1248" s="28"/>
      <c r="G1248" s="10">
        <f aca="true" t="shared" si="179" ref="G1248:I1249">G1249</f>
        <v>3</v>
      </c>
      <c r="H1248" s="10">
        <f t="shared" si="179"/>
        <v>3</v>
      </c>
      <c r="I1248" s="10">
        <f t="shared" si="179"/>
        <v>2</v>
      </c>
      <c r="J1248" s="99">
        <f t="shared" si="174"/>
        <v>66.66666666666666</v>
      </c>
    </row>
    <row r="1249" spans="1:10" ht="49.5" customHeight="1">
      <c r="A1249" s="64" t="s">
        <v>31</v>
      </c>
      <c r="B1249" s="20" t="s">
        <v>573</v>
      </c>
      <c r="C1249" s="26" t="s">
        <v>384</v>
      </c>
      <c r="D1249" s="26" t="s">
        <v>380</v>
      </c>
      <c r="E1249" s="27" t="s">
        <v>34</v>
      </c>
      <c r="F1249" s="28"/>
      <c r="G1249" s="10">
        <f t="shared" si="179"/>
        <v>3</v>
      </c>
      <c r="H1249" s="10">
        <f t="shared" si="179"/>
        <v>3</v>
      </c>
      <c r="I1249" s="10">
        <f t="shared" si="179"/>
        <v>2</v>
      </c>
      <c r="J1249" s="99">
        <f t="shared" si="174"/>
        <v>66.66666666666666</v>
      </c>
    </row>
    <row r="1250" spans="1:10" ht="16.5" customHeight="1">
      <c r="A1250" s="64" t="s">
        <v>232</v>
      </c>
      <c r="B1250" s="20" t="s">
        <v>573</v>
      </c>
      <c r="C1250" s="26" t="s">
        <v>384</v>
      </c>
      <c r="D1250" s="26" t="s">
        <v>380</v>
      </c>
      <c r="E1250" s="27" t="s">
        <v>34</v>
      </c>
      <c r="F1250" s="28" t="s">
        <v>234</v>
      </c>
      <c r="G1250" s="10">
        <v>3</v>
      </c>
      <c r="H1250" s="10">
        <v>3</v>
      </c>
      <c r="I1250" s="10">
        <v>2</v>
      </c>
      <c r="J1250" s="99">
        <f t="shared" si="174"/>
        <v>66.66666666666666</v>
      </c>
    </row>
    <row r="1251" spans="1:10" ht="12" customHeight="1">
      <c r="A1251" s="64"/>
      <c r="B1251" s="19"/>
      <c r="C1251" s="26"/>
      <c r="D1251" s="26"/>
      <c r="E1251" s="27"/>
      <c r="F1251" s="28"/>
      <c r="G1251" s="10"/>
      <c r="H1251" s="10"/>
      <c r="I1251" s="10"/>
      <c r="J1251" s="99"/>
    </row>
    <row r="1252" spans="1:10" ht="16.5" customHeight="1">
      <c r="A1252" s="31" t="s">
        <v>239</v>
      </c>
      <c r="B1252" s="19">
        <v>818</v>
      </c>
      <c r="C1252" s="26" t="s">
        <v>384</v>
      </c>
      <c r="D1252" s="26" t="s">
        <v>386</v>
      </c>
      <c r="E1252" s="27"/>
      <c r="F1252" s="28"/>
      <c r="G1252" s="10">
        <f>G1253</f>
        <v>1000</v>
      </c>
      <c r="H1252" s="10">
        <f>H1253</f>
        <v>1000</v>
      </c>
      <c r="I1252" s="10">
        <f>I1253</f>
        <v>1000</v>
      </c>
      <c r="J1252" s="99">
        <f t="shared" si="174"/>
        <v>100</v>
      </c>
    </row>
    <row r="1253" spans="1:10" ht="16.5" customHeight="1">
      <c r="A1253" s="59" t="s">
        <v>199</v>
      </c>
      <c r="B1253" s="19">
        <v>818</v>
      </c>
      <c r="C1253" s="26" t="s">
        <v>384</v>
      </c>
      <c r="D1253" s="26" t="s">
        <v>386</v>
      </c>
      <c r="E1253" s="27" t="s">
        <v>417</v>
      </c>
      <c r="F1253" s="28"/>
      <c r="G1253" s="10">
        <f>G1254+G1256</f>
        <v>1000</v>
      </c>
      <c r="H1253" s="10">
        <f>H1254+H1256</f>
        <v>1000</v>
      </c>
      <c r="I1253" s="10">
        <f>I1254+I1256</f>
        <v>1000</v>
      </c>
      <c r="J1253" s="99">
        <f t="shared" si="174"/>
        <v>100</v>
      </c>
    </row>
    <row r="1254" spans="1:10" ht="32.25" customHeight="1">
      <c r="A1254" s="31" t="s">
        <v>491</v>
      </c>
      <c r="B1254" s="19">
        <v>818</v>
      </c>
      <c r="C1254" s="54" t="s">
        <v>384</v>
      </c>
      <c r="D1254" s="54" t="s">
        <v>386</v>
      </c>
      <c r="E1254" s="55" t="s">
        <v>241</v>
      </c>
      <c r="F1254" s="28"/>
      <c r="G1254" s="10">
        <f>G1255</f>
        <v>1000</v>
      </c>
      <c r="H1254" s="10">
        <f>H1255</f>
        <v>1000</v>
      </c>
      <c r="I1254" s="10">
        <f>I1255</f>
        <v>1000</v>
      </c>
      <c r="J1254" s="99">
        <f t="shared" si="174"/>
        <v>100</v>
      </c>
    </row>
    <row r="1255" spans="1:10" ht="16.5" customHeight="1">
      <c r="A1255" s="64" t="s">
        <v>232</v>
      </c>
      <c r="B1255" s="19">
        <v>818</v>
      </c>
      <c r="C1255" s="26" t="s">
        <v>384</v>
      </c>
      <c r="D1255" s="26" t="s">
        <v>386</v>
      </c>
      <c r="E1255" s="55" t="s">
        <v>241</v>
      </c>
      <c r="F1255" s="28" t="s">
        <v>234</v>
      </c>
      <c r="G1255" s="10">
        <f>1680-680</f>
        <v>1000</v>
      </c>
      <c r="H1255" s="10">
        <f>1680-680</f>
        <v>1000</v>
      </c>
      <c r="I1255" s="10">
        <f>1680-680</f>
        <v>1000</v>
      </c>
      <c r="J1255" s="99">
        <f t="shared" si="174"/>
        <v>100</v>
      </c>
    </row>
    <row r="1256" spans="1:10" ht="33" customHeight="1" hidden="1">
      <c r="A1256" s="31" t="s">
        <v>497</v>
      </c>
      <c r="B1256" s="19">
        <v>818</v>
      </c>
      <c r="C1256" s="26" t="s">
        <v>384</v>
      </c>
      <c r="D1256" s="26" t="s">
        <v>386</v>
      </c>
      <c r="E1256" s="55" t="s">
        <v>243</v>
      </c>
      <c r="F1256" s="28"/>
      <c r="G1256" s="10">
        <f aca="true" t="shared" si="180" ref="G1256:I1257">G1257</f>
        <v>0</v>
      </c>
      <c r="H1256" s="10">
        <f t="shared" si="180"/>
        <v>0</v>
      </c>
      <c r="I1256" s="10">
        <f t="shared" si="180"/>
        <v>0</v>
      </c>
      <c r="J1256" s="99" t="e">
        <f t="shared" si="174"/>
        <v>#DIV/0!</v>
      </c>
    </row>
    <row r="1257" spans="1:10" ht="48.75" customHeight="1" hidden="1">
      <c r="A1257" s="31" t="s">
        <v>498</v>
      </c>
      <c r="B1257" s="19">
        <v>818</v>
      </c>
      <c r="C1257" s="26" t="s">
        <v>384</v>
      </c>
      <c r="D1257" s="26" t="s">
        <v>386</v>
      </c>
      <c r="E1257" s="55" t="s">
        <v>454</v>
      </c>
      <c r="F1257" s="28"/>
      <c r="G1257" s="10">
        <f t="shared" si="180"/>
        <v>0</v>
      </c>
      <c r="H1257" s="10">
        <f t="shared" si="180"/>
        <v>0</v>
      </c>
      <c r="I1257" s="10">
        <f t="shared" si="180"/>
        <v>0</v>
      </c>
      <c r="J1257" s="99" t="e">
        <f t="shared" si="174"/>
        <v>#DIV/0!</v>
      </c>
    </row>
    <row r="1258" spans="1:10" ht="18" customHeight="1" hidden="1">
      <c r="A1258" s="64" t="s">
        <v>232</v>
      </c>
      <c r="B1258" s="19">
        <v>818</v>
      </c>
      <c r="C1258" s="26" t="s">
        <v>384</v>
      </c>
      <c r="D1258" s="26" t="s">
        <v>386</v>
      </c>
      <c r="E1258" s="55" t="s">
        <v>454</v>
      </c>
      <c r="F1258" s="28" t="s">
        <v>234</v>
      </c>
      <c r="G1258" s="10">
        <f>40-40</f>
        <v>0</v>
      </c>
      <c r="H1258" s="10">
        <f>40-40</f>
        <v>0</v>
      </c>
      <c r="I1258" s="10">
        <f>40-40</f>
        <v>0</v>
      </c>
      <c r="J1258" s="99" t="e">
        <f t="shared" si="174"/>
        <v>#DIV/0!</v>
      </c>
    </row>
    <row r="1259" spans="1:10" ht="12" customHeight="1">
      <c r="A1259" s="64"/>
      <c r="B1259" s="26"/>
      <c r="C1259" s="26"/>
      <c r="D1259" s="26"/>
      <c r="E1259" s="27"/>
      <c r="F1259" s="28"/>
      <c r="G1259" s="10"/>
      <c r="H1259" s="10"/>
      <c r="I1259" s="10"/>
      <c r="J1259" s="99"/>
    </row>
    <row r="1260" spans="1:10" ht="16.5" customHeight="1">
      <c r="A1260" s="62" t="s">
        <v>247</v>
      </c>
      <c r="B1260" s="15">
        <v>818</v>
      </c>
      <c r="C1260" s="16" t="s">
        <v>386</v>
      </c>
      <c r="D1260" s="16"/>
      <c r="E1260" s="27"/>
      <c r="F1260" s="28"/>
      <c r="G1260" s="5">
        <f>G1261+G1276</f>
        <v>6451</v>
      </c>
      <c r="H1260" s="5">
        <f>H1261+H1276</f>
        <v>6645</v>
      </c>
      <c r="I1260" s="5">
        <f>I1261+I1276</f>
        <v>6640</v>
      </c>
      <c r="J1260" s="103">
        <f t="shared" si="174"/>
        <v>99.9247554552295</v>
      </c>
    </row>
    <row r="1261" spans="1:10" ht="16.5" customHeight="1">
      <c r="A1261" s="59" t="s">
        <v>252</v>
      </c>
      <c r="B1261" s="19">
        <v>818</v>
      </c>
      <c r="C1261" s="26" t="s">
        <v>386</v>
      </c>
      <c r="D1261" s="26" t="s">
        <v>388</v>
      </c>
      <c r="E1261" s="27"/>
      <c r="F1261" s="28"/>
      <c r="G1261" s="10">
        <f>G1266+G1262</f>
        <v>3021</v>
      </c>
      <c r="H1261" s="10">
        <f>H1266+H1262</f>
        <v>3215</v>
      </c>
      <c r="I1261" s="10">
        <f>I1266+I1262</f>
        <v>3212</v>
      </c>
      <c r="J1261" s="99">
        <f t="shared" si="174"/>
        <v>99.90668740279938</v>
      </c>
    </row>
    <row r="1262" spans="1:10" ht="16.5" customHeight="1">
      <c r="A1262" s="31" t="s">
        <v>371</v>
      </c>
      <c r="B1262" s="26" t="s">
        <v>573</v>
      </c>
      <c r="C1262" s="26" t="s">
        <v>386</v>
      </c>
      <c r="D1262" s="26" t="s">
        <v>388</v>
      </c>
      <c r="E1262" s="26" t="s">
        <v>427</v>
      </c>
      <c r="F1262" s="28"/>
      <c r="G1262" s="10">
        <f aca="true" t="shared" si="181" ref="G1262:I1264">G1263</f>
        <v>0</v>
      </c>
      <c r="H1262" s="10">
        <f t="shared" si="181"/>
        <v>194</v>
      </c>
      <c r="I1262" s="10">
        <f t="shared" si="181"/>
        <v>194</v>
      </c>
      <c r="J1262" s="99">
        <f t="shared" si="174"/>
        <v>100</v>
      </c>
    </row>
    <row r="1263" spans="1:10" ht="16.5" customHeight="1">
      <c r="A1263" s="8" t="s">
        <v>426</v>
      </c>
      <c r="B1263" s="26" t="s">
        <v>573</v>
      </c>
      <c r="C1263" s="26" t="s">
        <v>386</v>
      </c>
      <c r="D1263" s="26" t="s">
        <v>388</v>
      </c>
      <c r="E1263" s="26" t="s">
        <v>428</v>
      </c>
      <c r="F1263" s="28"/>
      <c r="G1263" s="10">
        <f t="shared" si="181"/>
        <v>0</v>
      </c>
      <c r="H1263" s="10">
        <f t="shared" si="181"/>
        <v>194</v>
      </c>
      <c r="I1263" s="10">
        <f t="shared" si="181"/>
        <v>194</v>
      </c>
      <c r="J1263" s="99">
        <f t="shared" si="174"/>
        <v>100</v>
      </c>
    </row>
    <row r="1264" spans="1:10" ht="16.5" customHeight="1">
      <c r="A1264" s="67" t="s">
        <v>469</v>
      </c>
      <c r="B1264" s="26" t="s">
        <v>573</v>
      </c>
      <c r="C1264" s="26" t="s">
        <v>386</v>
      </c>
      <c r="D1264" s="26" t="s">
        <v>388</v>
      </c>
      <c r="E1264" s="26" t="s">
        <v>311</v>
      </c>
      <c r="F1264" s="28"/>
      <c r="G1264" s="10">
        <f t="shared" si="181"/>
        <v>0</v>
      </c>
      <c r="H1264" s="10">
        <f t="shared" si="181"/>
        <v>194</v>
      </c>
      <c r="I1264" s="10">
        <f t="shared" si="181"/>
        <v>194</v>
      </c>
      <c r="J1264" s="99">
        <f t="shared" si="174"/>
        <v>100</v>
      </c>
    </row>
    <row r="1265" spans="1:10" ht="32.25" customHeight="1">
      <c r="A1265" s="8" t="s">
        <v>545</v>
      </c>
      <c r="B1265" s="26" t="s">
        <v>573</v>
      </c>
      <c r="C1265" s="26" t="s">
        <v>386</v>
      </c>
      <c r="D1265" s="26" t="s">
        <v>388</v>
      </c>
      <c r="E1265" s="26" t="s">
        <v>312</v>
      </c>
      <c r="F1265" s="28" t="s">
        <v>546</v>
      </c>
      <c r="G1265" s="10">
        <v>0</v>
      </c>
      <c r="H1265" s="10">
        <v>194</v>
      </c>
      <c r="I1265" s="10">
        <v>194</v>
      </c>
      <c r="J1265" s="99">
        <f t="shared" si="174"/>
        <v>100</v>
      </c>
    </row>
    <row r="1266" spans="1:10" ht="16.5" customHeight="1">
      <c r="A1266" s="59" t="s">
        <v>199</v>
      </c>
      <c r="B1266" s="19">
        <v>818</v>
      </c>
      <c r="C1266" s="54" t="s">
        <v>386</v>
      </c>
      <c r="D1266" s="54" t="s">
        <v>388</v>
      </c>
      <c r="E1266" s="55" t="s">
        <v>417</v>
      </c>
      <c r="F1266" s="56"/>
      <c r="G1266" s="10">
        <f>G1267+G1270+G1273</f>
        <v>3021</v>
      </c>
      <c r="H1266" s="10">
        <f>H1267+H1270+H1273</f>
        <v>3021</v>
      </c>
      <c r="I1266" s="10">
        <f>I1267+I1270+I1273</f>
        <v>3018</v>
      </c>
      <c r="J1266" s="99">
        <f t="shared" si="174"/>
        <v>99.90069513406156</v>
      </c>
    </row>
    <row r="1267" spans="1:10" ht="32.25" customHeight="1">
      <c r="A1267" s="31" t="s">
        <v>491</v>
      </c>
      <c r="B1267" s="19">
        <v>818</v>
      </c>
      <c r="C1267" s="54" t="s">
        <v>386</v>
      </c>
      <c r="D1267" s="54" t="s">
        <v>388</v>
      </c>
      <c r="E1267" s="55" t="s">
        <v>241</v>
      </c>
      <c r="F1267" s="56"/>
      <c r="G1267" s="10">
        <f>G1268+G1269</f>
        <v>3000</v>
      </c>
      <c r="H1267" s="10">
        <f>H1268+H1269</f>
        <v>3000</v>
      </c>
      <c r="I1267" s="10">
        <f>I1268+I1269</f>
        <v>2997</v>
      </c>
      <c r="J1267" s="99">
        <f t="shared" si="174"/>
        <v>99.9</v>
      </c>
    </row>
    <row r="1268" spans="1:10" ht="32.25" customHeight="1">
      <c r="A1268" s="8" t="s">
        <v>545</v>
      </c>
      <c r="B1268" s="19">
        <v>818</v>
      </c>
      <c r="C1268" s="54" t="s">
        <v>386</v>
      </c>
      <c r="D1268" s="54" t="s">
        <v>388</v>
      </c>
      <c r="E1268" s="55" t="s">
        <v>241</v>
      </c>
      <c r="F1268" s="56" t="s">
        <v>546</v>
      </c>
      <c r="G1268" s="10">
        <f>5445-2645</f>
        <v>2800</v>
      </c>
      <c r="H1268" s="10">
        <f>5445-2645</f>
        <v>2800</v>
      </c>
      <c r="I1268" s="10">
        <v>2797</v>
      </c>
      <c r="J1268" s="99">
        <f t="shared" si="174"/>
        <v>99.89285714285714</v>
      </c>
    </row>
    <row r="1269" spans="1:10" ht="16.5" customHeight="1">
      <c r="A1269" s="60" t="s">
        <v>419</v>
      </c>
      <c r="B1269" s="19">
        <v>818</v>
      </c>
      <c r="C1269" s="54" t="s">
        <v>386</v>
      </c>
      <c r="D1269" s="54" t="s">
        <v>388</v>
      </c>
      <c r="E1269" s="55" t="s">
        <v>241</v>
      </c>
      <c r="F1269" s="56" t="s">
        <v>420</v>
      </c>
      <c r="G1269" s="10">
        <f>355-155</f>
        <v>200</v>
      </c>
      <c r="H1269" s="10">
        <f>355-155</f>
        <v>200</v>
      </c>
      <c r="I1269" s="10">
        <f>355-155</f>
        <v>200</v>
      </c>
      <c r="J1269" s="99">
        <f t="shared" si="174"/>
        <v>100</v>
      </c>
    </row>
    <row r="1270" spans="1:10" ht="31.5" customHeight="1" hidden="1">
      <c r="A1270" s="64" t="s">
        <v>517</v>
      </c>
      <c r="B1270" s="19">
        <v>818</v>
      </c>
      <c r="C1270" s="54" t="s">
        <v>386</v>
      </c>
      <c r="D1270" s="54" t="s">
        <v>388</v>
      </c>
      <c r="E1270" s="55" t="s">
        <v>447</v>
      </c>
      <c r="F1270" s="56"/>
      <c r="G1270" s="10">
        <f aca="true" t="shared" si="182" ref="G1270:I1271">G1271</f>
        <v>0</v>
      </c>
      <c r="H1270" s="10">
        <f t="shared" si="182"/>
        <v>0</v>
      </c>
      <c r="I1270" s="10">
        <f t="shared" si="182"/>
        <v>0</v>
      </c>
      <c r="J1270" s="99" t="e">
        <f t="shared" si="174"/>
        <v>#DIV/0!</v>
      </c>
    </row>
    <row r="1271" spans="1:10" ht="33" customHeight="1" hidden="1">
      <c r="A1271" s="31" t="s">
        <v>61</v>
      </c>
      <c r="B1271" s="19">
        <v>818</v>
      </c>
      <c r="C1271" s="54" t="s">
        <v>386</v>
      </c>
      <c r="D1271" s="54" t="s">
        <v>388</v>
      </c>
      <c r="E1271" s="55" t="s">
        <v>467</v>
      </c>
      <c r="F1271" s="56"/>
      <c r="G1271" s="10">
        <f t="shared" si="182"/>
        <v>0</v>
      </c>
      <c r="H1271" s="10">
        <f t="shared" si="182"/>
        <v>0</v>
      </c>
      <c r="I1271" s="10">
        <f t="shared" si="182"/>
        <v>0</v>
      </c>
      <c r="J1271" s="99" t="e">
        <f t="shared" si="174"/>
        <v>#DIV/0!</v>
      </c>
    </row>
    <row r="1272" spans="1:10" ht="33" customHeight="1" hidden="1">
      <c r="A1272" s="8" t="s">
        <v>545</v>
      </c>
      <c r="B1272" s="19">
        <v>818</v>
      </c>
      <c r="C1272" s="54" t="s">
        <v>386</v>
      </c>
      <c r="D1272" s="54" t="s">
        <v>388</v>
      </c>
      <c r="E1272" s="55" t="s">
        <v>467</v>
      </c>
      <c r="F1272" s="56" t="s">
        <v>546</v>
      </c>
      <c r="G1272" s="10">
        <f>75-75</f>
        <v>0</v>
      </c>
      <c r="H1272" s="10">
        <f>75-75</f>
        <v>0</v>
      </c>
      <c r="I1272" s="10">
        <f>75-75</f>
        <v>0</v>
      </c>
      <c r="J1272" s="99" t="e">
        <f t="shared" si="174"/>
        <v>#DIV/0!</v>
      </c>
    </row>
    <row r="1273" spans="1:10" ht="32.25" customHeight="1">
      <c r="A1273" s="60" t="s">
        <v>495</v>
      </c>
      <c r="B1273" s="19">
        <v>818</v>
      </c>
      <c r="C1273" s="54" t="s">
        <v>386</v>
      </c>
      <c r="D1273" s="54" t="s">
        <v>388</v>
      </c>
      <c r="E1273" s="55" t="s">
        <v>448</v>
      </c>
      <c r="F1273" s="56"/>
      <c r="G1273" s="10">
        <f>G1274</f>
        <v>21</v>
      </c>
      <c r="H1273" s="10">
        <f>H1274</f>
        <v>21</v>
      </c>
      <c r="I1273" s="10">
        <f>I1274</f>
        <v>21</v>
      </c>
      <c r="J1273" s="99">
        <f t="shared" si="174"/>
        <v>100</v>
      </c>
    </row>
    <row r="1274" spans="1:10" ht="32.25" customHeight="1">
      <c r="A1274" s="8" t="s">
        <v>545</v>
      </c>
      <c r="B1274" s="19">
        <v>818</v>
      </c>
      <c r="C1274" s="26" t="s">
        <v>386</v>
      </c>
      <c r="D1274" s="26" t="s">
        <v>388</v>
      </c>
      <c r="E1274" s="27" t="s">
        <v>448</v>
      </c>
      <c r="F1274" s="28" t="s">
        <v>546</v>
      </c>
      <c r="G1274" s="10">
        <f>42-42+21</f>
        <v>21</v>
      </c>
      <c r="H1274" s="10">
        <f>42-42+21</f>
        <v>21</v>
      </c>
      <c r="I1274" s="10">
        <f>42-42+21</f>
        <v>21</v>
      </c>
      <c r="J1274" s="99">
        <f t="shared" si="174"/>
        <v>100</v>
      </c>
    </row>
    <row r="1275" spans="1:10" ht="12" customHeight="1">
      <c r="A1275" s="8"/>
      <c r="B1275" s="19"/>
      <c r="C1275" s="26"/>
      <c r="D1275" s="26"/>
      <c r="E1275" s="27"/>
      <c r="F1275" s="28"/>
      <c r="G1275" s="10"/>
      <c r="H1275" s="10"/>
      <c r="I1275" s="10"/>
      <c r="J1275" s="99"/>
    </row>
    <row r="1276" spans="1:10" ht="32.25" customHeight="1">
      <c r="A1276" s="31" t="s">
        <v>253</v>
      </c>
      <c r="B1276" s="19">
        <v>818</v>
      </c>
      <c r="C1276" s="20" t="s">
        <v>386</v>
      </c>
      <c r="D1276" s="20" t="s">
        <v>387</v>
      </c>
      <c r="E1276" s="19"/>
      <c r="F1276" s="21"/>
      <c r="G1276" s="10">
        <f aca="true" t="shared" si="183" ref="G1276:I1278">G1277</f>
        <v>3430</v>
      </c>
      <c r="H1276" s="10">
        <f t="shared" si="183"/>
        <v>3430</v>
      </c>
      <c r="I1276" s="10">
        <f t="shared" si="183"/>
        <v>3428</v>
      </c>
      <c r="J1276" s="99">
        <f t="shared" si="174"/>
        <v>99.94169096209913</v>
      </c>
    </row>
    <row r="1277" spans="1:10" ht="49.5" customHeight="1">
      <c r="A1277" s="23" t="s">
        <v>231</v>
      </c>
      <c r="B1277" s="19">
        <v>818</v>
      </c>
      <c r="C1277" s="26" t="s">
        <v>386</v>
      </c>
      <c r="D1277" s="26" t="s">
        <v>387</v>
      </c>
      <c r="E1277" s="27" t="s">
        <v>233</v>
      </c>
      <c r="F1277" s="28"/>
      <c r="G1277" s="10">
        <f t="shared" si="183"/>
        <v>3430</v>
      </c>
      <c r="H1277" s="10">
        <f t="shared" si="183"/>
        <v>3430</v>
      </c>
      <c r="I1277" s="10">
        <f t="shared" si="183"/>
        <v>3428</v>
      </c>
      <c r="J1277" s="99">
        <f t="shared" si="174"/>
        <v>99.94169096209913</v>
      </c>
    </row>
    <row r="1278" spans="1:10" ht="16.5" customHeight="1">
      <c r="A1278" s="8" t="s">
        <v>364</v>
      </c>
      <c r="B1278" s="19">
        <v>818</v>
      </c>
      <c r="C1278" s="26" t="s">
        <v>386</v>
      </c>
      <c r="D1278" s="26" t="s">
        <v>387</v>
      </c>
      <c r="E1278" s="27" t="s">
        <v>441</v>
      </c>
      <c r="F1278" s="28"/>
      <c r="G1278" s="10">
        <f t="shared" si="183"/>
        <v>3430</v>
      </c>
      <c r="H1278" s="10">
        <f t="shared" si="183"/>
        <v>3430</v>
      </c>
      <c r="I1278" s="10">
        <f t="shared" si="183"/>
        <v>3428</v>
      </c>
      <c r="J1278" s="99">
        <f t="shared" si="174"/>
        <v>99.94169096209913</v>
      </c>
    </row>
    <row r="1279" spans="1:10" ht="16.5" customHeight="1">
      <c r="A1279" s="60" t="s">
        <v>419</v>
      </c>
      <c r="B1279" s="19">
        <v>818</v>
      </c>
      <c r="C1279" s="26" t="s">
        <v>386</v>
      </c>
      <c r="D1279" s="26" t="s">
        <v>387</v>
      </c>
      <c r="E1279" s="27" t="s">
        <v>441</v>
      </c>
      <c r="F1279" s="28" t="s">
        <v>420</v>
      </c>
      <c r="G1279" s="10">
        <f>4193-56-707</f>
        <v>3430</v>
      </c>
      <c r="H1279" s="10">
        <f>4193-56-707</f>
        <v>3430</v>
      </c>
      <c r="I1279" s="10">
        <v>3428</v>
      </c>
      <c r="J1279" s="99">
        <f t="shared" si="174"/>
        <v>99.94169096209913</v>
      </c>
    </row>
    <row r="1280" spans="1:10" ht="12" customHeight="1">
      <c r="A1280" s="81"/>
      <c r="B1280" s="82"/>
      <c r="C1280" s="83"/>
      <c r="D1280" s="83"/>
      <c r="E1280" s="83"/>
      <c r="F1280" s="84"/>
      <c r="G1280" s="80"/>
      <c r="H1280" s="80"/>
      <c r="I1280" s="80"/>
      <c r="J1280" s="99"/>
    </row>
    <row r="1281" spans="1:10" ht="16.5" customHeight="1">
      <c r="A1281" s="40" t="s">
        <v>626</v>
      </c>
      <c r="B1281" s="15">
        <v>819</v>
      </c>
      <c r="C1281" s="30"/>
      <c r="D1281" s="30"/>
      <c r="E1281" s="15"/>
      <c r="F1281" s="33"/>
      <c r="G1281" s="5">
        <f aca="true" t="shared" si="184" ref="G1281:I1282">G1282</f>
        <v>17500</v>
      </c>
      <c r="H1281" s="5">
        <f t="shared" si="184"/>
        <v>17500</v>
      </c>
      <c r="I1281" s="5">
        <f t="shared" si="184"/>
        <v>14561</v>
      </c>
      <c r="J1281" s="103">
        <f t="shared" si="174"/>
        <v>83.20571428571428</v>
      </c>
    </row>
    <row r="1282" spans="1:10" ht="16.5" customHeight="1">
      <c r="A1282" s="62" t="s">
        <v>425</v>
      </c>
      <c r="B1282" s="15">
        <v>819</v>
      </c>
      <c r="C1282" s="30" t="s">
        <v>379</v>
      </c>
      <c r="D1282" s="30"/>
      <c r="E1282" s="15"/>
      <c r="F1282" s="33"/>
      <c r="G1282" s="5">
        <f t="shared" si="184"/>
        <v>17500</v>
      </c>
      <c r="H1282" s="5">
        <f t="shared" si="184"/>
        <v>17500</v>
      </c>
      <c r="I1282" s="5">
        <f t="shared" si="184"/>
        <v>14561</v>
      </c>
      <c r="J1282" s="103">
        <f t="shared" si="174"/>
        <v>83.20571428571428</v>
      </c>
    </row>
    <row r="1283" spans="1:10" ht="16.5" customHeight="1">
      <c r="A1283" s="31" t="s">
        <v>627</v>
      </c>
      <c r="B1283" s="19">
        <v>819</v>
      </c>
      <c r="C1283" s="20" t="s">
        <v>379</v>
      </c>
      <c r="D1283" s="20" t="s">
        <v>384</v>
      </c>
      <c r="E1283" s="19"/>
      <c r="F1283" s="21"/>
      <c r="G1283" s="10">
        <f>G1284+G1289</f>
        <v>17500</v>
      </c>
      <c r="H1283" s="10">
        <f>H1284+H1289</f>
        <v>17500</v>
      </c>
      <c r="I1283" s="10">
        <f>I1284+I1289</f>
        <v>14561</v>
      </c>
      <c r="J1283" s="99">
        <f t="shared" si="174"/>
        <v>83.20571428571428</v>
      </c>
    </row>
    <row r="1284" spans="1:10" ht="49.5" customHeight="1">
      <c r="A1284" s="23" t="s">
        <v>307</v>
      </c>
      <c r="B1284" s="19">
        <v>819</v>
      </c>
      <c r="C1284" s="20" t="s">
        <v>379</v>
      </c>
      <c r="D1284" s="20" t="s">
        <v>384</v>
      </c>
      <c r="E1284" s="20" t="s">
        <v>233</v>
      </c>
      <c r="F1284" s="21"/>
      <c r="G1284" s="85">
        <f>G1285+G1287</f>
        <v>3000</v>
      </c>
      <c r="H1284" s="85">
        <f>H1285+H1287</f>
        <v>3000</v>
      </c>
      <c r="I1284" s="85">
        <f>I1285+I1287</f>
        <v>1781</v>
      </c>
      <c r="J1284" s="99">
        <f t="shared" si="174"/>
        <v>59.36666666666667</v>
      </c>
    </row>
    <row r="1285" spans="1:10" ht="16.5" customHeight="1">
      <c r="A1285" s="67" t="s">
        <v>364</v>
      </c>
      <c r="B1285" s="19">
        <v>819</v>
      </c>
      <c r="C1285" s="20" t="s">
        <v>379</v>
      </c>
      <c r="D1285" s="20" t="s">
        <v>384</v>
      </c>
      <c r="E1285" s="26" t="s">
        <v>441</v>
      </c>
      <c r="F1285" s="28"/>
      <c r="G1285" s="9">
        <f>G1286</f>
        <v>1200</v>
      </c>
      <c r="H1285" s="9">
        <f>H1286</f>
        <v>1200</v>
      </c>
      <c r="I1285" s="9">
        <f>I1286</f>
        <v>835</v>
      </c>
      <c r="J1285" s="99">
        <f t="shared" si="174"/>
        <v>69.58333333333333</v>
      </c>
    </row>
    <row r="1286" spans="1:10" ht="16.5" customHeight="1">
      <c r="A1286" s="67" t="s">
        <v>419</v>
      </c>
      <c r="B1286" s="19">
        <v>819</v>
      </c>
      <c r="C1286" s="20" t="s">
        <v>379</v>
      </c>
      <c r="D1286" s="20" t="s">
        <v>384</v>
      </c>
      <c r="E1286" s="26" t="s">
        <v>441</v>
      </c>
      <c r="F1286" s="28" t="s">
        <v>420</v>
      </c>
      <c r="G1286" s="9">
        <f>900+300</f>
        <v>1200</v>
      </c>
      <c r="H1286" s="9">
        <f>900+300</f>
        <v>1200</v>
      </c>
      <c r="I1286" s="9">
        <v>835</v>
      </c>
      <c r="J1286" s="99">
        <f t="shared" si="174"/>
        <v>69.58333333333333</v>
      </c>
    </row>
    <row r="1287" spans="1:10" ht="16.5" customHeight="1">
      <c r="A1287" s="67" t="s">
        <v>56</v>
      </c>
      <c r="B1287" s="19">
        <v>819</v>
      </c>
      <c r="C1287" s="20" t="s">
        <v>379</v>
      </c>
      <c r="D1287" s="20" t="s">
        <v>384</v>
      </c>
      <c r="E1287" s="26" t="s">
        <v>57</v>
      </c>
      <c r="F1287" s="28"/>
      <c r="G1287" s="9">
        <f>G1288</f>
        <v>1800</v>
      </c>
      <c r="H1287" s="9">
        <f>H1288</f>
        <v>1800</v>
      </c>
      <c r="I1287" s="9">
        <f>I1288</f>
        <v>946</v>
      </c>
      <c r="J1287" s="99">
        <f t="shared" si="174"/>
        <v>52.55555555555556</v>
      </c>
    </row>
    <row r="1288" spans="1:10" ht="16.5" customHeight="1">
      <c r="A1288" s="67" t="s">
        <v>419</v>
      </c>
      <c r="B1288" s="19">
        <v>819</v>
      </c>
      <c r="C1288" s="20" t="s">
        <v>379</v>
      </c>
      <c r="D1288" s="20" t="s">
        <v>384</v>
      </c>
      <c r="E1288" s="26" t="s">
        <v>57</v>
      </c>
      <c r="F1288" s="28" t="s">
        <v>420</v>
      </c>
      <c r="G1288" s="9">
        <f>2500-700</f>
        <v>1800</v>
      </c>
      <c r="H1288" s="9">
        <f>2500-700</f>
        <v>1800</v>
      </c>
      <c r="I1288" s="9">
        <v>946</v>
      </c>
      <c r="J1288" s="99">
        <f t="shared" si="174"/>
        <v>52.55555555555556</v>
      </c>
    </row>
    <row r="1289" spans="1:10" ht="16.5" customHeight="1">
      <c r="A1289" s="31" t="s">
        <v>628</v>
      </c>
      <c r="B1289" s="19">
        <v>819</v>
      </c>
      <c r="C1289" s="26" t="s">
        <v>379</v>
      </c>
      <c r="D1289" s="26" t="s">
        <v>384</v>
      </c>
      <c r="E1289" s="26" t="s">
        <v>630</v>
      </c>
      <c r="F1289" s="28"/>
      <c r="G1289" s="10">
        <f>G1290+G1292</f>
        <v>14500</v>
      </c>
      <c r="H1289" s="10">
        <f>H1290+H1292</f>
        <v>14500</v>
      </c>
      <c r="I1289" s="10">
        <f>I1290+I1292</f>
        <v>12780</v>
      </c>
      <c r="J1289" s="99">
        <f t="shared" si="174"/>
        <v>88.13793103448276</v>
      </c>
    </row>
    <row r="1290" spans="1:10" ht="48.75" customHeight="1" hidden="1">
      <c r="A1290" s="67" t="s">
        <v>58</v>
      </c>
      <c r="B1290" s="19">
        <v>819</v>
      </c>
      <c r="C1290" s="26" t="s">
        <v>379</v>
      </c>
      <c r="D1290" s="26" t="s">
        <v>384</v>
      </c>
      <c r="E1290" s="26" t="s">
        <v>59</v>
      </c>
      <c r="F1290" s="28"/>
      <c r="G1290" s="10">
        <f>G1291</f>
        <v>0</v>
      </c>
      <c r="H1290" s="10">
        <f>H1291</f>
        <v>0</v>
      </c>
      <c r="I1290" s="10">
        <f>I1291</f>
        <v>0</v>
      </c>
      <c r="J1290" s="99" t="e">
        <f t="shared" si="174"/>
        <v>#DIV/0!</v>
      </c>
    </row>
    <row r="1291" spans="1:10" ht="18" customHeight="1" hidden="1">
      <c r="A1291" s="67" t="s">
        <v>419</v>
      </c>
      <c r="B1291" s="19">
        <v>819</v>
      </c>
      <c r="C1291" s="26" t="s">
        <v>379</v>
      </c>
      <c r="D1291" s="26" t="s">
        <v>384</v>
      </c>
      <c r="E1291" s="26" t="s">
        <v>59</v>
      </c>
      <c r="F1291" s="28" t="s">
        <v>420</v>
      </c>
      <c r="G1291" s="10">
        <f>600-600</f>
        <v>0</v>
      </c>
      <c r="H1291" s="10">
        <f>600-600</f>
        <v>0</v>
      </c>
      <c r="I1291" s="10">
        <f>600-600</f>
        <v>0</v>
      </c>
      <c r="J1291" s="99" t="e">
        <f t="shared" si="174"/>
        <v>#DIV/0!</v>
      </c>
    </row>
    <row r="1292" spans="1:10" ht="32.25" customHeight="1">
      <c r="A1292" s="67" t="s">
        <v>629</v>
      </c>
      <c r="B1292" s="19">
        <v>819</v>
      </c>
      <c r="C1292" s="26" t="s">
        <v>379</v>
      </c>
      <c r="D1292" s="26" t="s">
        <v>384</v>
      </c>
      <c r="E1292" s="26" t="s">
        <v>631</v>
      </c>
      <c r="F1292" s="28"/>
      <c r="G1292" s="10">
        <f>G1293</f>
        <v>14500</v>
      </c>
      <c r="H1292" s="10">
        <f>H1293</f>
        <v>14500</v>
      </c>
      <c r="I1292" s="10">
        <f>I1293</f>
        <v>12780</v>
      </c>
      <c r="J1292" s="99">
        <f t="shared" si="174"/>
        <v>88.13793103448276</v>
      </c>
    </row>
    <row r="1293" spans="1:10" ht="16.5" customHeight="1">
      <c r="A1293" s="67" t="s">
        <v>419</v>
      </c>
      <c r="B1293" s="19">
        <v>819</v>
      </c>
      <c r="C1293" s="26" t="s">
        <v>379</v>
      </c>
      <c r="D1293" s="26" t="s">
        <v>384</v>
      </c>
      <c r="E1293" s="26" t="s">
        <v>631</v>
      </c>
      <c r="F1293" s="28" t="s">
        <v>420</v>
      </c>
      <c r="G1293" s="10">
        <f>10000+4500</f>
        <v>14500</v>
      </c>
      <c r="H1293" s="10">
        <f>10000+4500</f>
        <v>14500</v>
      </c>
      <c r="I1293" s="10">
        <v>12780</v>
      </c>
      <c r="J1293" s="99">
        <f>I1293/H1293*100</f>
        <v>88.13793103448276</v>
      </c>
    </row>
    <row r="1294" spans="1:10" ht="12" customHeight="1">
      <c r="A1294" s="43"/>
      <c r="B1294" s="44"/>
      <c r="C1294" s="45"/>
      <c r="D1294" s="45"/>
      <c r="E1294" s="46"/>
      <c r="F1294" s="47"/>
      <c r="G1294" s="11"/>
      <c r="H1294" s="11"/>
      <c r="I1294" s="11"/>
      <c r="J1294" s="100"/>
    </row>
    <row r="1295" spans="1:10" ht="15" customHeight="1">
      <c r="A1295" s="48" t="s">
        <v>357</v>
      </c>
      <c r="B1295" s="49"/>
      <c r="C1295" s="13"/>
      <c r="D1295" s="13"/>
      <c r="E1295" s="50"/>
      <c r="F1295" s="51"/>
      <c r="G1295" s="4">
        <f>G12+G102+G131+G153+G175+G193+G222+G245+G267+G285+G319+G488+G748+G765+G782+G802+G927+G1144+G1232+G1281</f>
        <v>6753386</v>
      </c>
      <c r="H1295" s="4">
        <f>H12+H102+H131+H153+H175+H193+H222+H245+H267+H285+H319+H488+H748+H765+H782+H802+H927+H1144+H1232+H1281</f>
        <v>6756335</v>
      </c>
      <c r="I1295" s="4">
        <f>I12+I102+I131+I153+I175+I193+I222+I245+I267+I285+I319+I488+I748+I765+I782+I802+I927+I1144+I1232+I1281</f>
        <v>6412791</v>
      </c>
      <c r="J1295" s="104">
        <f>I1295/H1295*100</f>
        <v>94.91523140874453</v>
      </c>
    </row>
    <row r="1296" spans="1:9" ht="51" customHeight="1">
      <c r="A1296" s="128" t="s">
        <v>129</v>
      </c>
      <c r="B1296" s="128"/>
      <c r="C1296" s="128"/>
      <c r="D1296" s="128"/>
      <c r="E1296" s="128"/>
      <c r="F1296" s="128"/>
      <c r="G1296" s="128"/>
      <c r="H1296" s="128"/>
      <c r="I1296" s="128"/>
    </row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</sheetData>
  <mergeCells count="17">
    <mergeCell ref="A7:J7"/>
    <mergeCell ref="B3:I3"/>
    <mergeCell ref="B5:I5"/>
    <mergeCell ref="A1296:I1296"/>
    <mergeCell ref="A9:A10"/>
    <mergeCell ref="B9:B10"/>
    <mergeCell ref="B4:I4"/>
    <mergeCell ref="B1:J1"/>
    <mergeCell ref="J9:J10"/>
    <mergeCell ref="H9:H10"/>
    <mergeCell ref="I9:I10"/>
    <mergeCell ref="H2:J2"/>
    <mergeCell ref="G9:G10"/>
    <mergeCell ref="C9:C10"/>
    <mergeCell ref="D9:D10"/>
    <mergeCell ref="E9:E10"/>
    <mergeCell ref="F9:F10"/>
  </mergeCells>
  <printOptions/>
  <pageMargins left="0.7480314960629921" right="0.7480314960629921" top="0.551181102362204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2010-03-31T05:41:31Z</cp:lastPrinted>
  <dcterms:created xsi:type="dcterms:W3CDTF">2002-11-27T07:56:57Z</dcterms:created>
  <dcterms:modified xsi:type="dcterms:W3CDTF">2010-06-16T12:48:22Z</dcterms:modified>
  <cp:category/>
  <cp:version/>
  <cp:contentType/>
  <cp:contentStatus/>
</cp:coreProperties>
</file>